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 autoCompressPictures="0"/>
  <bookViews>
    <workbookView xWindow="0" yWindow="0" windowWidth="24240" windowHeight="13740" tabRatio="946"/>
  </bookViews>
  <sheets>
    <sheet name="Inhoudsopgave" sheetId="14" r:id="rId1"/>
    <sheet name="Kostenbegroting" sheetId="71" r:id="rId2"/>
    <sheet name="VPOmetVPB" sheetId="58" r:id="rId3"/>
    <sheet name="VPO" sheetId="59" r:id="rId4"/>
    <sheet name="VPB" sheetId="60" r:id="rId5"/>
    <sheet name="Rebasing_VPBofVPO" sheetId="61" r:id="rId6"/>
    <sheet name="Reparatie_VPBofVPOmetafdruk" sheetId="62" r:id="rId7"/>
    <sheet name="Reparatie_VPBofVPOzonderafdruk" sheetId="63" r:id="rId8"/>
    <sheet name="Ovk_OK2_staafmetnwe_VPB" sheetId="3" r:id="rId9"/>
    <sheet name="Ovk_OK2_drukknopMETnwe_VPB" sheetId="50" r:id="rId10"/>
    <sheet name="Ovk_OK4_staafmetnwe_VPB" sheetId="35" r:id="rId11"/>
    <sheet name="Ovk OK4 drukknop+nwe VPB" sheetId="51" r:id="rId12"/>
    <sheet name="OVK_OK2_oude_staafmetnwe_VPB" sheetId="36" r:id="rId13"/>
    <sheet name="Ovk_OK2_oude_drukknopmetVPB" sheetId="52" r:id="rId14"/>
    <sheet name="OVK_OK4_oude_staafmetnwe_VPB" sheetId="37" r:id="rId15"/>
    <sheet name="Ovk OK4 oude drukknop+nwe VPB" sheetId="53" r:id="rId16"/>
    <sheet name="OVK_OK2_staaf" sheetId="38" r:id="rId17"/>
    <sheet name="OVK_OK2_drukknop" sheetId="54" r:id="rId18"/>
    <sheet name="OVK_OK4_staaf" sheetId="39" r:id="rId19"/>
    <sheet name="OVK OK4 drukknop" sheetId="55" r:id="rId20"/>
    <sheet name="OVK_OK2_oude_staaf" sheetId="40" r:id="rId21"/>
    <sheet name="OVK_OK2_oude_drukknop" sheetId="56" r:id="rId22"/>
    <sheet name="OVK_OK4_oude_staaf" sheetId="41" r:id="rId23"/>
    <sheet name="OVK OK4 oude drukknop" sheetId="57" r:id="rId24"/>
    <sheet name="OVK_BK4_nieuwe_staaf" sheetId="42" r:id="rId25"/>
    <sheet name="OVK_BK4_nieuwe_staafmetmetaal" sheetId="43" r:id="rId26"/>
    <sheet name="OVK_BK4_bestaande_staaf" sheetId="44" r:id="rId27"/>
    <sheet name="OVK_BK4_bestaande_staafmemetaal" sheetId="45" r:id="rId28"/>
    <sheet name="OVK_BK4_drukknop" sheetId="64" r:id="rId29"/>
    <sheet name="OVK_BK4_bestaande_drukknop" sheetId="66" r:id="rId30"/>
    <sheet name="OVK_BK6_nieuwe_staaf" sheetId="46" r:id="rId31"/>
    <sheet name="OVK_BK6_nieuwe_staafmetmetaal" sheetId="47" r:id="rId32"/>
    <sheet name="OVK_BK6_bestaande_staaf" sheetId="48" r:id="rId33"/>
    <sheet name="OVK_BK6_bestaande_staaf_metaal" sheetId="49" r:id="rId34"/>
    <sheet name="OVK_BK6_drukknop" sheetId="68" r:id="rId35"/>
    <sheet name="OVK_BK6_bestaandedrukknop" sheetId="69" r:id="rId36"/>
    <sheet name="nieuw" sheetId="34" r:id="rId37"/>
    <sheet name="Kengetallen" sheetId="1" r:id="rId38"/>
    <sheet name="OVERZICHT NZA TECHNIEK" sheetId="20" r:id="rId39"/>
    <sheet name="Volledige_prothese_zkz" sheetId="21" r:id="rId40"/>
    <sheet name="Implantaat_prothese_zkz" sheetId="23" r:id="rId41"/>
    <sheet name="Immediaat_zkz" sheetId="22" r:id="rId42"/>
    <sheet name="Implantaat_omvormen_ZKZ" sheetId="24" r:id="rId43"/>
    <sheet name="Mesostructuur_zkz" sheetId="25" r:id="rId44"/>
    <sheet name="Rebasen_zkz" sheetId="26" r:id="rId45"/>
    <sheet name="Toelichting" sheetId="27" r:id="rId46"/>
    <sheet name="Blad1" sheetId="72" r:id="rId47"/>
  </sheets>
  <externalReferences>
    <externalReference r:id="rId48"/>
  </externalReferences>
  <definedNames>
    <definedName name="_xlnm._FilterDatabase" localSheetId="36" hidden="1">nieuw!$M$1:$M$50</definedName>
    <definedName name="_xlnm._FilterDatabase" localSheetId="38" hidden="1">'OVERZICHT NZA TECHNIEK'!$A$1:$C$1</definedName>
    <definedName name="_xlnm._FilterDatabase" localSheetId="19" hidden="1">'OVK OK4 drukknop'!$M$1:$M$69</definedName>
    <definedName name="_xlnm._FilterDatabase" localSheetId="11" hidden="1">'Ovk OK4 drukknop+nwe VPB'!$M$1:$M$69</definedName>
    <definedName name="_xlnm._FilterDatabase" localSheetId="23" hidden="1">'OVK OK4 oude drukknop'!$M$1:$M$69</definedName>
    <definedName name="_xlnm._FilterDatabase" localSheetId="15" hidden="1">'Ovk OK4 oude drukknop+nwe VPB'!$M$1:$M$69</definedName>
    <definedName name="_xlnm._FilterDatabase" localSheetId="29" hidden="1">OVK_BK4_bestaande_drukknop!$M$1:$M$70</definedName>
    <definedName name="_xlnm._FilterDatabase" localSheetId="26" hidden="1">OVK_BK4_bestaande_staaf!$M$1:$M$69</definedName>
    <definedName name="_xlnm._FilterDatabase" localSheetId="27" hidden="1">OVK_BK4_bestaande_staafmemetaal!$M$1:$M$69</definedName>
    <definedName name="_xlnm._FilterDatabase" localSheetId="28" hidden="1">OVK_BK4_drukknop!$M$1:$M$69</definedName>
    <definedName name="_xlnm._FilterDatabase" localSheetId="24" hidden="1">OVK_BK4_nieuwe_staaf!$M$1:$M$69</definedName>
    <definedName name="_xlnm._FilterDatabase" localSheetId="25" hidden="1">OVK_BK4_nieuwe_staafmetmetaal!$M$1:$M$69</definedName>
    <definedName name="_xlnm._FilterDatabase" localSheetId="32" hidden="1">OVK_BK6_bestaande_staaf!$M$1:$M$69</definedName>
    <definedName name="_xlnm._FilterDatabase" localSheetId="33" hidden="1">OVK_BK6_bestaande_staaf_metaal!$M$1:$M$69</definedName>
    <definedName name="_xlnm._FilterDatabase" localSheetId="35" hidden="1">OVK_BK6_bestaandedrukknop!$M$1:$M$69</definedName>
    <definedName name="_xlnm._FilterDatabase" localSheetId="34" hidden="1">OVK_BK6_drukknop!$M$1:$M$69</definedName>
    <definedName name="_xlnm._FilterDatabase" localSheetId="30" hidden="1">OVK_BK6_nieuwe_staaf!$M$1:$M$69</definedName>
    <definedName name="_xlnm._FilterDatabase" localSheetId="31" hidden="1">OVK_BK6_nieuwe_staafmetmetaal!$M$1:$M$69</definedName>
    <definedName name="_xlnm._FilterDatabase" localSheetId="17" hidden="1">OVK_OK2_drukknop!$M$1:$M$69</definedName>
    <definedName name="_xlnm._FilterDatabase" localSheetId="9" hidden="1">Ovk_OK2_drukknopMETnwe_VPB!$M$1:$M$71</definedName>
    <definedName name="_xlnm._FilterDatabase" localSheetId="21" hidden="1">OVK_OK2_oude_drukknop!$M$1:$M$69</definedName>
    <definedName name="_xlnm._FilterDatabase" localSheetId="13" hidden="1">Ovk_OK2_oude_drukknopmetVPB!$M$1:$M$69</definedName>
    <definedName name="_xlnm._FilterDatabase" localSheetId="20" hidden="1">OVK_OK2_oude_staaf!$M$1:$M$69</definedName>
    <definedName name="_xlnm._FilterDatabase" localSheetId="12" hidden="1">OVK_OK2_oude_staafmetnwe_VPB!$M$1:$M$69</definedName>
    <definedName name="_xlnm._FilterDatabase" localSheetId="16" hidden="1">OVK_OK2_staaf!$M$1:$M$70</definedName>
    <definedName name="_xlnm._FilterDatabase" localSheetId="8" hidden="1">Ovk_OK2_staafmetnwe_VPB!$M$1:$M$69</definedName>
    <definedName name="_xlnm._FilterDatabase" localSheetId="22" hidden="1">OVK_OK4_oude_staaf!$M$1:$M$69</definedName>
    <definedName name="_xlnm._FilterDatabase" localSheetId="14" hidden="1">OVK_OK4_oude_staafmetnwe_VPB!$M$1:$M$69</definedName>
    <definedName name="_xlnm._FilterDatabase" localSheetId="18" hidden="1">OVK_OK4_staaf!$M$1:$M$69</definedName>
    <definedName name="_xlnm._FilterDatabase" localSheetId="10" hidden="1">Ovk_OK4_staafmetnwe_VPB!$M$1:$M$69</definedName>
    <definedName name="_xlnm._FilterDatabase" localSheetId="5" hidden="1">Rebasing_VPBofVPO!$M$1:$M$71</definedName>
    <definedName name="_xlnm._FilterDatabase" localSheetId="6" hidden="1">Reparatie_VPBofVPOmetafdruk!$M$1:$M$71</definedName>
    <definedName name="_xlnm._FilterDatabase" localSheetId="7" hidden="1">Reparatie_VPBofVPOzonderafdruk!$M$1:$M$71</definedName>
    <definedName name="_xlnm._FilterDatabase" localSheetId="4" hidden="1">VPB!$M$1:$M$71</definedName>
    <definedName name="_xlnm._FilterDatabase" localSheetId="3" hidden="1">VPO!$M$1:$M$71</definedName>
    <definedName name="_xlnm._FilterDatabase" localSheetId="2" hidden="1">VPOmetVPB!$M$1:$M$71</definedName>
    <definedName name="_xlnm.Print_Area" localSheetId="42">Implantaat_omvormen_ZKZ!$A$1:$F$63</definedName>
    <definedName name="_xlnm.Print_Area" localSheetId="40">Implantaat_prothese_zkz!$A$1:$F$398</definedName>
    <definedName name="_xlnm.Print_Area" localSheetId="38">'OVERZICHT NZA TECHNIEK'!$A$1:$C$404</definedName>
    <definedName name="_xlnm.Print_Area" localSheetId="44">Rebasen_zkz!$A$1:$F$122</definedName>
    <definedName name="_xlnm.Print_Area" localSheetId="39">Volledige_prothese_zkz!$A$1:$F$78</definedName>
    <definedName name="data">#REF!</definedName>
    <definedName name="data_nieuw">'[1]Raw Data - DO NOT EDIT'!$A$2:$C$328</definedName>
    <definedName name="Naar_inhoudsopgave" localSheetId="36">nieuw!$J$52</definedName>
    <definedName name="Naar_inhoudsopgave" localSheetId="19">'OVK OK4 drukknop'!$J$52</definedName>
    <definedName name="Naar_inhoudsopgave" localSheetId="11">'Ovk OK4 drukknop+nwe VPB'!$J$52</definedName>
    <definedName name="Naar_inhoudsopgave" localSheetId="23">'OVK OK4 oude drukknop'!$J$52</definedName>
    <definedName name="Naar_inhoudsopgave" localSheetId="15">'Ovk OK4 oude drukknop+nwe VPB'!$J$52</definedName>
    <definedName name="Naar_inhoudsopgave" localSheetId="29">OVK_BK4_bestaande_drukknop!$J$52</definedName>
    <definedName name="Naar_inhoudsopgave" localSheetId="26">OVK_BK4_bestaande_staaf!$J$52</definedName>
    <definedName name="Naar_inhoudsopgave" localSheetId="27">OVK_BK4_bestaande_staafmemetaal!$J$52</definedName>
    <definedName name="Naar_inhoudsopgave" localSheetId="28">OVK_BK4_drukknop!$J$52</definedName>
    <definedName name="Naar_inhoudsopgave" localSheetId="24">OVK_BK4_nieuwe_staaf!$J$52</definedName>
    <definedName name="Naar_inhoudsopgave" localSheetId="25">OVK_BK4_nieuwe_staafmetmetaal!$J$52</definedName>
    <definedName name="Naar_inhoudsopgave" localSheetId="32">OVK_BK6_bestaande_staaf!$J$52</definedName>
    <definedName name="Naar_inhoudsopgave" localSheetId="33">OVK_BK6_bestaande_staaf_metaal!$J$52</definedName>
    <definedName name="Naar_inhoudsopgave" localSheetId="35">OVK_BK6_bestaandedrukknop!$J$52</definedName>
    <definedName name="Naar_inhoudsopgave" localSheetId="34">OVK_BK6_drukknop!$J$52</definedName>
    <definedName name="Naar_inhoudsopgave" localSheetId="30">OVK_BK6_nieuwe_staaf!$J$52</definedName>
    <definedName name="Naar_inhoudsopgave" localSheetId="31">OVK_BK6_nieuwe_staafmetmetaal!$J$52</definedName>
    <definedName name="Naar_inhoudsopgave" localSheetId="17">OVK_OK2_drukknop!$J$52</definedName>
    <definedName name="Naar_inhoudsopgave" localSheetId="9">Ovk_OK2_drukknopMETnwe_VPB!$J$52</definedName>
    <definedName name="Naar_inhoudsopgave" localSheetId="21">OVK_OK2_oude_drukknop!$J$52</definedName>
    <definedName name="Naar_inhoudsopgave" localSheetId="13">Ovk_OK2_oude_drukknopmetVPB!$J$52</definedName>
    <definedName name="Naar_inhoudsopgave" localSheetId="20">OVK_OK2_oude_staaf!$J$52</definedName>
    <definedName name="Naar_inhoudsopgave" localSheetId="12">OVK_OK2_oude_staafmetnwe_VPB!$J$52</definedName>
    <definedName name="Naar_inhoudsopgave" localSheetId="16">OVK_OK2_staaf!$J$52</definedName>
    <definedName name="Naar_inhoudsopgave" localSheetId="22">OVK_OK4_oude_staaf!$J$52</definedName>
    <definedName name="Naar_inhoudsopgave" localSheetId="14">OVK_OK4_oude_staafmetnwe_VPB!$J$52</definedName>
    <definedName name="Naar_inhoudsopgave" localSheetId="18">OVK_OK4_staaf!$J$52</definedName>
    <definedName name="Naar_inhoudsopgave" localSheetId="10">Ovk_OK4_staafmetnwe_VPB!$J$52</definedName>
    <definedName name="Naar_inhoudsopgave" localSheetId="5">Rebasing_VPBofVPO!$J$52</definedName>
    <definedName name="Naar_inhoudsopgave" localSheetId="6">Reparatie_VPBofVPOmetafdruk!$J$52</definedName>
    <definedName name="Naar_inhoudsopgave" localSheetId="7">Reparatie_VPBofVPOzonderafdruk!$J$52</definedName>
    <definedName name="Naar_inhoudsopgave" localSheetId="4">VPB!$J$52</definedName>
    <definedName name="Naar_inhoudsopgave" localSheetId="3">VPO!$J$52</definedName>
    <definedName name="Naar_inhoudsopgave" localSheetId="2">VPOmetVPB!$J$52</definedName>
    <definedName name="Naar_inhoudsopgave">Ovk_OK2_staafmetnwe_VPB!$J$52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" i="22" l="1"/>
  <c r="E4" i="22"/>
  <c r="E5" i="22"/>
  <c r="E6" i="22"/>
  <c r="E7" i="22"/>
  <c r="E8" i="22"/>
  <c r="E9" i="22"/>
  <c r="E10" i="22"/>
  <c r="E11" i="22"/>
  <c r="E12" i="22"/>
  <c r="E13" i="22"/>
  <c r="E14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51" i="22"/>
  <c r="E52" i="22"/>
  <c r="E53" i="22"/>
  <c r="E54" i="22"/>
  <c r="E55" i="22"/>
  <c r="E56" i="22"/>
  <c r="E57" i="22"/>
  <c r="E58" i="22"/>
  <c r="E59" i="22"/>
  <c r="E64" i="22"/>
  <c r="E65" i="22"/>
  <c r="E66" i="22"/>
  <c r="E67" i="22"/>
  <c r="E68" i="22"/>
  <c r="E69" i="22"/>
  <c r="E70" i="22"/>
  <c r="E71" i="22"/>
  <c r="E72" i="22"/>
  <c r="E77" i="22"/>
  <c r="E78" i="22"/>
  <c r="E79" i="22"/>
  <c r="E80" i="22"/>
  <c r="E81" i="22"/>
  <c r="E82" i="22"/>
  <c r="E83" i="22"/>
  <c r="E84" i="22"/>
  <c r="E85" i="22"/>
  <c r="E90" i="22"/>
  <c r="F91" i="22"/>
  <c r="F60" i="22"/>
  <c r="F47" i="22"/>
  <c r="F31" i="22"/>
  <c r="F15" i="22"/>
  <c r="F73" i="22"/>
  <c r="F86" i="22"/>
  <c r="E3" i="24"/>
  <c r="E4" i="24"/>
  <c r="E5" i="24"/>
  <c r="E6" i="24"/>
  <c r="E7" i="24"/>
  <c r="E8" i="24"/>
  <c r="E9" i="24"/>
  <c r="E10" i="24"/>
  <c r="E11" i="24"/>
  <c r="E12" i="24"/>
  <c r="E13" i="24"/>
  <c r="E18" i="24"/>
  <c r="E19" i="24"/>
  <c r="E20" i="24"/>
  <c r="E21" i="24"/>
  <c r="E22" i="24"/>
  <c r="E23" i="24"/>
  <c r="E24" i="24"/>
  <c r="E25" i="24"/>
  <c r="E26" i="24"/>
  <c r="E27" i="24"/>
  <c r="E28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50" i="24"/>
  <c r="E51" i="24"/>
  <c r="E52" i="24"/>
  <c r="E53" i="24"/>
  <c r="E54" i="24"/>
  <c r="E55" i="24"/>
  <c r="E56" i="24"/>
  <c r="E57" i="24"/>
  <c r="E58" i="24"/>
  <c r="E59" i="24"/>
  <c r="E60" i="24"/>
  <c r="E61" i="24"/>
  <c r="E62" i="24"/>
  <c r="F46" i="24"/>
  <c r="F29" i="24"/>
  <c r="F63" i="24"/>
  <c r="F14" i="24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E194" i="23"/>
  <c r="E195" i="23"/>
  <c r="E196" i="23"/>
  <c r="E197" i="23"/>
  <c r="E198" i="23"/>
  <c r="E199" i="23"/>
  <c r="E200" i="23"/>
  <c r="E201" i="23"/>
  <c r="E202" i="23"/>
  <c r="E203" i="23"/>
  <c r="E204" i="23"/>
  <c r="E205" i="23"/>
  <c r="E206" i="23"/>
  <c r="E207" i="23"/>
  <c r="E208" i="23"/>
  <c r="E209" i="23"/>
  <c r="E210" i="23"/>
  <c r="E211" i="23"/>
  <c r="E212" i="23"/>
  <c r="E213" i="23"/>
  <c r="E214" i="23"/>
  <c r="E215" i="23"/>
  <c r="E216" i="23"/>
  <c r="E221" i="23"/>
  <c r="E222" i="23"/>
  <c r="E223" i="23"/>
  <c r="E224" i="23"/>
  <c r="E225" i="23"/>
  <c r="E226" i="23"/>
  <c r="E227" i="23"/>
  <c r="E228" i="23"/>
  <c r="E229" i="23"/>
  <c r="E230" i="23"/>
  <c r="E231" i="23"/>
  <c r="E232" i="23"/>
  <c r="E233" i="23"/>
  <c r="E234" i="23"/>
  <c r="E235" i="23"/>
  <c r="E236" i="23"/>
  <c r="E237" i="23"/>
  <c r="E238" i="23"/>
  <c r="E239" i="23"/>
  <c r="E240" i="23"/>
  <c r="E241" i="23"/>
  <c r="E242" i="23"/>
  <c r="E243" i="23"/>
  <c r="E248" i="23"/>
  <c r="E249" i="23"/>
  <c r="E250" i="23"/>
  <c r="E251" i="23"/>
  <c r="E252" i="23"/>
  <c r="E253" i="23"/>
  <c r="E254" i="23"/>
  <c r="E255" i="23"/>
  <c r="E256" i="23"/>
  <c r="E257" i="23"/>
  <c r="E258" i="23"/>
  <c r="E259" i="23"/>
  <c r="E260" i="23"/>
  <c r="E261" i="23"/>
  <c r="E262" i="23"/>
  <c r="E263" i="23"/>
  <c r="E264" i="23"/>
  <c r="E265" i="23"/>
  <c r="E266" i="23"/>
  <c r="E267" i="23"/>
  <c r="E268" i="23"/>
  <c r="E269" i="23"/>
  <c r="E274" i="23"/>
  <c r="E275" i="23"/>
  <c r="E276" i="23"/>
  <c r="E277" i="23"/>
  <c r="E278" i="23"/>
  <c r="E279" i="23"/>
  <c r="E280" i="23"/>
  <c r="E281" i="23"/>
  <c r="E282" i="23"/>
  <c r="E283" i="23"/>
  <c r="E284" i="23"/>
  <c r="E285" i="23"/>
  <c r="E286" i="23"/>
  <c r="E287" i="23"/>
  <c r="E288" i="23"/>
  <c r="E289" i="23"/>
  <c r="E290" i="23"/>
  <c r="E291" i="23"/>
  <c r="E296" i="23"/>
  <c r="E297" i="23"/>
  <c r="E298" i="23"/>
  <c r="E299" i="23"/>
  <c r="E300" i="23"/>
  <c r="E301" i="23"/>
  <c r="E302" i="23"/>
  <c r="E303" i="23"/>
  <c r="E304" i="23"/>
  <c r="E305" i="23"/>
  <c r="E306" i="23"/>
  <c r="E307" i="23"/>
  <c r="E308" i="23"/>
  <c r="E309" i="23"/>
  <c r="E310" i="23"/>
  <c r="E311" i="23"/>
  <c r="E312" i="23"/>
  <c r="E313" i="23"/>
  <c r="E318" i="23"/>
  <c r="E319" i="23"/>
  <c r="E320" i="23"/>
  <c r="E321" i="23"/>
  <c r="E322" i="23"/>
  <c r="E323" i="23"/>
  <c r="E324" i="23"/>
  <c r="E325" i="23"/>
  <c r="E326" i="23"/>
  <c r="E327" i="23"/>
  <c r="E328" i="23"/>
  <c r="E329" i="23"/>
  <c r="E330" i="23"/>
  <c r="E331" i="23"/>
  <c r="E332" i="23"/>
  <c r="E333" i="23"/>
  <c r="E334" i="23"/>
  <c r="E335" i="23"/>
  <c r="E340" i="23"/>
  <c r="E341" i="23"/>
  <c r="E342" i="23"/>
  <c r="E343" i="23"/>
  <c r="E344" i="23"/>
  <c r="E345" i="23"/>
  <c r="E346" i="23"/>
  <c r="E347" i="23"/>
  <c r="E348" i="23"/>
  <c r="E349" i="23"/>
  <c r="E350" i="23"/>
  <c r="E351" i="23"/>
  <c r="E352" i="23"/>
  <c r="E353" i="23"/>
  <c r="E354" i="23"/>
  <c r="E355" i="23"/>
  <c r="E356" i="23"/>
  <c r="E357" i="23"/>
  <c r="E362" i="23"/>
  <c r="E363" i="23"/>
  <c r="E364" i="23"/>
  <c r="E365" i="23"/>
  <c r="E366" i="23"/>
  <c r="E367" i="23"/>
  <c r="E368" i="23"/>
  <c r="E369" i="23"/>
  <c r="E370" i="23"/>
  <c r="E371" i="23"/>
  <c r="E372" i="23"/>
  <c r="E373" i="23"/>
  <c r="E374" i="23"/>
  <c r="E375" i="23"/>
  <c r="E376" i="23"/>
  <c r="E377" i="23"/>
  <c r="E378" i="23"/>
  <c r="E379" i="23"/>
  <c r="E384" i="23"/>
  <c r="E385" i="23"/>
  <c r="E386" i="23"/>
  <c r="E387" i="23"/>
  <c r="F393" i="23"/>
  <c r="E392" i="23"/>
  <c r="F398" i="23"/>
  <c r="E397" i="23"/>
  <c r="F358" i="23"/>
  <c r="F102" i="23"/>
  <c r="F190" i="23"/>
  <c r="F146" i="23"/>
  <c r="F380" i="23"/>
  <c r="F244" i="23"/>
  <c r="F124" i="23"/>
  <c r="F53" i="23"/>
  <c r="F314" i="23"/>
  <c r="F292" i="23"/>
  <c r="F217" i="23"/>
  <c r="F270" i="23"/>
  <c r="F336" i="23"/>
  <c r="F168" i="23"/>
  <c r="F80" i="23"/>
  <c r="F26" i="23"/>
  <c r="Q13" i="14"/>
  <c r="U5" i="14"/>
  <c r="Q9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Q5" i="14"/>
  <c r="Q6" i="14"/>
  <c r="Q7" i="14"/>
  <c r="Q8" i="14"/>
  <c r="Q10" i="14"/>
  <c r="Q11" i="14"/>
  <c r="Q12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S8" i="14"/>
  <c r="S18" i="14"/>
  <c r="S34" i="14"/>
  <c r="S29" i="14"/>
  <c r="S38" i="14"/>
  <c r="S26" i="14"/>
  <c r="S14" i="14"/>
  <c r="S43" i="14"/>
  <c r="S39" i="14"/>
  <c r="S35" i="14"/>
  <c r="S31" i="14"/>
  <c r="S27" i="14"/>
  <c r="S23" i="14"/>
  <c r="S19" i="14"/>
  <c r="S15" i="14"/>
  <c r="S11" i="14"/>
  <c r="S7" i="14"/>
  <c r="S42" i="14"/>
  <c r="S30" i="14"/>
  <c r="S22" i="14"/>
  <c r="S10" i="14"/>
  <c r="S6" i="14"/>
  <c r="S45" i="14"/>
  <c r="S41" i="14"/>
  <c r="S37" i="14"/>
  <c r="S33" i="14"/>
  <c r="S25" i="14"/>
  <c r="S21" i="14"/>
  <c r="S17" i="14"/>
  <c r="S13" i="14"/>
  <c r="S9" i="14"/>
  <c r="S44" i="14"/>
  <c r="S40" i="14"/>
  <c r="S36" i="14"/>
  <c r="S32" i="14"/>
  <c r="S28" i="14"/>
  <c r="S24" i="14"/>
  <c r="S20" i="14"/>
  <c r="S16" i="14"/>
  <c r="S12" i="14"/>
  <c r="R28" i="14"/>
  <c r="R36" i="14"/>
  <c r="R16" i="14"/>
  <c r="R7" i="14"/>
  <c r="R42" i="14"/>
  <c r="R34" i="14"/>
  <c r="R27" i="14"/>
  <c r="R15" i="14"/>
  <c r="R38" i="14"/>
  <c r="R6" i="14"/>
  <c r="R39" i="14"/>
  <c r="R32" i="14"/>
  <c r="R23" i="14"/>
  <c r="R8" i="14"/>
  <c r="R44" i="14"/>
  <c r="R20" i="14"/>
  <c r="R14" i="14"/>
  <c r="R31" i="14"/>
  <c r="R43" i="14"/>
  <c r="R9" i="14"/>
  <c r="R26" i="14"/>
  <c r="R19" i="14"/>
  <c r="R12" i="14"/>
  <c r="R5" i="14"/>
  <c r="R40" i="14"/>
  <c r="R35" i="14"/>
  <c r="R30" i="14"/>
  <c r="R24" i="14"/>
  <c r="R18" i="14"/>
  <c r="R11" i="14"/>
  <c r="R22" i="14"/>
  <c r="R10" i="14"/>
  <c r="R45" i="14"/>
  <c r="R41" i="14"/>
  <c r="R37" i="14"/>
  <c r="R33" i="14"/>
  <c r="R29" i="14"/>
  <c r="R25" i="14"/>
  <c r="R21" i="14"/>
  <c r="R17" i="14"/>
  <c r="R13" i="14"/>
  <c r="G5" i="14"/>
  <c r="G6" i="14"/>
  <c r="G7" i="14"/>
  <c r="G8" i="14"/>
  <c r="G9" i="14"/>
  <c r="G10" i="14"/>
  <c r="G11" i="14"/>
  <c r="G12" i="14"/>
  <c r="G14" i="14"/>
  <c r="G15" i="14"/>
  <c r="G16" i="14"/>
  <c r="G17" i="14"/>
  <c r="G24" i="14"/>
  <c r="G25" i="14"/>
  <c r="G26" i="14"/>
  <c r="G27" i="14"/>
  <c r="G28" i="14"/>
  <c r="G29" i="14"/>
  <c r="G31" i="14"/>
  <c r="G32" i="14"/>
  <c r="G33" i="14"/>
  <c r="G34" i="14"/>
  <c r="G35" i="14"/>
  <c r="G36" i="14"/>
  <c r="G40" i="14"/>
  <c r="G41" i="14"/>
  <c r="G42" i="14"/>
  <c r="G43" i="14"/>
  <c r="G44" i="14"/>
  <c r="G45" i="14"/>
  <c r="S5" i="14"/>
  <c r="D29" i="69"/>
  <c r="D4" i="69"/>
  <c r="H36" i="14"/>
  <c r="C6" i="68"/>
  <c r="E6" i="68"/>
  <c r="F6" i="68"/>
  <c r="C7" i="68"/>
  <c r="E7" i="68"/>
  <c r="F7" i="68"/>
  <c r="C29" i="68"/>
  <c r="E29" i="68"/>
  <c r="F29" i="68"/>
  <c r="F4" i="68"/>
  <c r="C35" i="14"/>
  <c r="E29" i="69"/>
  <c r="G29" i="69"/>
  <c r="G4" i="69"/>
  <c r="D36" i="14"/>
  <c r="D6" i="68"/>
  <c r="G6" i="68"/>
  <c r="D7" i="68"/>
  <c r="G7" i="68"/>
  <c r="D29" i="68"/>
  <c r="G29" i="68"/>
  <c r="G4" i="68"/>
  <c r="D35" i="14"/>
  <c r="D4" i="68"/>
  <c r="H35" i="14"/>
  <c r="C29" i="69"/>
  <c r="F29" i="69"/>
  <c r="F4" i="69"/>
  <c r="C36" i="14"/>
  <c r="H4" i="68"/>
  <c r="E35" i="14"/>
  <c r="D68" i="63"/>
  <c r="D4" i="63"/>
  <c r="H44" i="14"/>
  <c r="H4" i="69"/>
  <c r="E36" i="14"/>
  <c r="D68" i="62"/>
  <c r="E68" i="62"/>
  <c r="G68" i="62"/>
  <c r="G4" i="62"/>
  <c r="D45" i="14"/>
  <c r="D4" i="62"/>
  <c r="H45" i="14"/>
  <c r="C68" i="62"/>
  <c r="F68" i="62"/>
  <c r="F4" i="62"/>
  <c r="C45" i="14"/>
  <c r="E68" i="63"/>
  <c r="G68" i="63"/>
  <c r="G4" i="63"/>
  <c r="D44" i="14"/>
  <c r="C68" i="63"/>
  <c r="F68" i="63"/>
  <c r="F4" i="63"/>
  <c r="C44" i="14"/>
  <c r="C27" i="49"/>
  <c r="E27" i="49"/>
  <c r="F27" i="49"/>
  <c r="C39" i="49"/>
  <c r="E39" i="49"/>
  <c r="F39" i="49"/>
  <c r="F4" i="49"/>
  <c r="C34" i="14"/>
  <c r="C15" i="53"/>
  <c r="E15" i="53"/>
  <c r="F15" i="53"/>
  <c r="F4" i="53"/>
  <c r="C21" i="14"/>
  <c r="C24" i="44"/>
  <c r="E24" i="44"/>
  <c r="F24" i="44"/>
  <c r="C38" i="44"/>
  <c r="E38" i="44"/>
  <c r="F38" i="44"/>
  <c r="F4" i="44"/>
  <c r="C26" i="14"/>
  <c r="C19" i="56"/>
  <c r="E19" i="56"/>
  <c r="F19" i="56"/>
  <c r="F4" i="56"/>
  <c r="C12" i="14"/>
  <c r="C6" i="64"/>
  <c r="E6" i="64"/>
  <c r="F6" i="64"/>
  <c r="C7" i="64"/>
  <c r="E7" i="64"/>
  <c r="F7" i="64"/>
  <c r="C28" i="64"/>
  <c r="E28" i="64"/>
  <c r="F28" i="64"/>
  <c r="F4" i="64"/>
  <c r="C28" i="14"/>
  <c r="C28" i="66"/>
  <c r="E28" i="66"/>
  <c r="F28" i="66"/>
  <c r="F4" i="66"/>
  <c r="C29" i="14"/>
  <c r="C8" i="46"/>
  <c r="E8" i="46"/>
  <c r="F8" i="46"/>
  <c r="C9" i="46"/>
  <c r="E9" i="46"/>
  <c r="F9" i="46"/>
  <c r="C26" i="46"/>
  <c r="E26" i="46"/>
  <c r="F26" i="46"/>
  <c r="F4" i="46"/>
  <c r="C31" i="14"/>
  <c r="C25" i="43"/>
  <c r="E25" i="43"/>
  <c r="F25" i="43"/>
  <c r="C38" i="43"/>
  <c r="E38" i="43"/>
  <c r="F38" i="43"/>
  <c r="F4" i="43"/>
  <c r="C25" i="14"/>
  <c r="C26" i="48"/>
  <c r="E26" i="48"/>
  <c r="F26" i="48"/>
  <c r="C39" i="48"/>
  <c r="E39" i="48"/>
  <c r="F39" i="48"/>
  <c r="F4" i="48"/>
  <c r="C33" i="14"/>
  <c r="C8" i="45"/>
  <c r="E8" i="45"/>
  <c r="F8" i="45"/>
  <c r="C9" i="45"/>
  <c r="E9" i="45"/>
  <c r="F9" i="45"/>
  <c r="C25" i="45"/>
  <c r="E25" i="45"/>
  <c r="F25" i="45"/>
  <c r="F4" i="45"/>
  <c r="C27" i="14"/>
  <c r="C66" i="61"/>
  <c r="E66" i="61"/>
  <c r="F66" i="61"/>
  <c r="F4" i="61"/>
  <c r="C43" i="14"/>
  <c r="C54" i="59"/>
  <c r="E54" i="59"/>
  <c r="F54" i="59"/>
  <c r="C59" i="59"/>
  <c r="E59" i="59"/>
  <c r="F59" i="59"/>
  <c r="C60" i="59"/>
  <c r="E60" i="59"/>
  <c r="F60" i="59"/>
  <c r="C61" i="59"/>
  <c r="E61" i="59"/>
  <c r="F61" i="59"/>
  <c r="F4" i="59"/>
  <c r="C41" i="14"/>
  <c r="C53" i="60"/>
  <c r="E53" i="60"/>
  <c r="F53" i="60"/>
  <c r="C59" i="60"/>
  <c r="E59" i="60"/>
  <c r="F59" i="60"/>
  <c r="C60" i="60"/>
  <c r="E60" i="60"/>
  <c r="F60" i="60"/>
  <c r="C61" i="60"/>
  <c r="E61" i="60"/>
  <c r="F61" i="60"/>
  <c r="F4" i="60"/>
  <c r="C42" i="14"/>
  <c r="C6" i="54"/>
  <c r="E6" i="54"/>
  <c r="F6" i="54"/>
  <c r="C19" i="54"/>
  <c r="E19" i="54"/>
  <c r="F19" i="54"/>
  <c r="F4" i="54"/>
  <c r="C11" i="14"/>
  <c r="C6" i="51"/>
  <c r="E6" i="51"/>
  <c r="F6" i="51"/>
  <c r="C7" i="51"/>
  <c r="E7" i="51"/>
  <c r="F7" i="51"/>
  <c r="C15" i="51"/>
  <c r="E15" i="51"/>
  <c r="F15" i="51"/>
  <c r="F4" i="51"/>
  <c r="C20" i="14"/>
  <c r="C8" i="47"/>
  <c r="E8" i="47"/>
  <c r="F8" i="47"/>
  <c r="C9" i="47"/>
  <c r="E9" i="47"/>
  <c r="F9" i="47"/>
  <c r="C27" i="47"/>
  <c r="E27" i="47"/>
  <c r="F27" i="47"/>
  <c r="F4" i="47"/>
  <c r="C32" i="14"/>
  <c r="H4" i="63"/>
  <c r="E44" i="14"/>
  <c r="H4" i="62"/>
  <c r="E45" i="14"/>
  <c r="C20" i="57"/>
  <c r="E20" i="57"/>
  <c r="F20" i="57"/>
  <c r="F4" i="57"/>
  <c r="C19" i="14"/>
  <c r="C6" i="55"/>
  <c r="E6" i="55"/>
  <c r="F6" i="55"/>
  <c r="C7" i="55"/>
  <c r="E7" i="55"/>
  <c r="F7" i="55"/>
  <c r="C20" i="55"/>
  <c r="E20" i="55"/>
  <c r="F20" i="55"/>
  <c r="F4" i="55"/>
  <c r="C18" i="14"/>
  <c r="C18" i="41"/>
  <c r="E18" i="41"/>
  <c r="F18" i="41"/>
  <c r="C38" i="41"/>
  <c r="E38" i="41"/>
  <c r="F38" i="41"/>
  <c r="F4" i="41"/>
  <c r="C17" i="14"/>
  <c r="C17" i="40"/>
  <c r="E17" i="40"/>
  <c r="F17" i="40"/>
  <c r="C37" i="40"/>
  <c r="E37" i="40"/>
  <c r="F37" i="40"/>
  <c r="F4" i="40"/>
  <c r="C8" i="14"/>
  <c r="C14" i="52"/>
  <c r="E14" i="52"/>
  <c r="F14" i="52"/>
  <c r="F4" i="52"/>
  <c r="C10" i="14"/>
  <c r="C6" i="50"/>
  <c r="E6" i="50"/>
  <c r="F6" i="50"/>
  <c r="C14" i="50"/>
  <c r="E14" i="50"/>
  <c r="F14" i="50"/>
  <c r="F4" i="50"/>
  <c r="C9" i="14"/>
  <c r="C8" i="42"/>
  <c r="E8" i="42"/>
  <c r="F8" i="42"/>
  <c r="C9" i="42"/>
  <c r="E9" i="42"/>
  <c r="F9" i="42"/>
  <c r="C24" i="42"/>
  <c r="E24" i="42"/>
  <c r="F24" i="42"/>
  <c r="F4" i="42"/>
  <c r="C24" i="14"/>
  <c r="C55" i="58"/>
  <c r="E55" i="58"/>
  <c r="F55" i="58"/>
  <c r="C59" i="58"/>
  <c r="E59" i="58"/>
  <c r="F59" i="58"/>
  <c r="C60" i="58"/>
  <c r="E60" i="58"/>
  <c r="F60" i="58"/>
  <c r="C61" i="58"/>
  <c r="E61" i="58"/>
  <c r="F61" i="58"/>
  <c r="F4" i="58"/>
  <c r="C40" i="14"/>
  <c r="C12" i="36"/>
  <c r="E12" i="36"/>
  <c r="F12" i="36"/>
  <c r="C37" i="36"/>
  <c r="E37" i="36"/>
  <c r="F37" i="36"/>
  <c r="F4" i="36"/>
  <c r="C6" i="14"/>
  <c r="C8" i="3"/>
  <c r="E8" i="3"/>
  <c r="F8" i="3"/>
  <c r="C12" i="3"/>
  <c r="E12" i="3"/>
  <c r="F12" i="3"/>
  <c r="F4" i="3"/>
  <c r="C5" i="14"/>
  <c r="C8" i="35"/>
  <c r="E8" i="35"/>
  <c r="F8" i="35"/>
  <c r="C9" i="35"/>
  <c r="E9" i="35"/>
  <c r="F9" i="35"/>
  <c r="C13" i="35"/>
  <c r="E13" i="35"/>
  <c r="F13" i="35"/>
  <c r="F4" i="35"/>
  <c r="C14" i="14"/>
  <c r="C13" i="37"/>
  <c r="E13" i="37"/>
  <c r="F13" i="37"/>
  <c r="C38" i="37"/>
  <c r="E38" i="37"/>
  <c r="F38" i="37"/>
  <c r="F4" i="37"/>
  <c r="C15" i="14"/>
  <c r="C8" i="38"/>
  <c r="E8" i="38"/>
  <c r="F8" i="38"/>
  <c r="C17" i="38"/>
  <c r="E17" i="38"/>
  <c r="F17" i="38"/>
  <c r="F4" i="38"/>
  <c r="C7" i="14"/>
  <c r="C8" i="39"/>
  <c r="E8" i="39"/>
  <c r="F8" i="39"/>
  <c r="C9" i="39"/>
  <c r="E9" i="39"/>
  <c r="F9" i="39"/>
  <c r="C18" i="39"/>
  <c r="E18" i="39"/>
  <c r="F18" i="39"/>
  <c r="F4" i="39"/>
  <c r="C16" i="14"/>
  <c r="D13" i="37"/>
  <c r="D38" i="37"/>
  <c r="D4" i="37"/>
  <c r="H15" i="14"/>
  <c r="D18" i="41"/>
  <c r="D38" i="41"/>
  <c r="D4" i="41"/>
  <c r="H17" i="14"/>
  <c r="D12" i="36"/>
  <c r="D37" i="36"/>
  <c r="D4" i="36"/>
  <c r="H6" i="14"/>
  <c r="D17" i="40"/>
  <c r="D37" i="40"/>
  <c r="D4" i="40"/>
  <c r="H8" i="14"/>
  <c r="D8" i="35"/>
  <c r="D9" i="35"/>
  <c r="D13" i="35"/>
  <c r="D4" i="35"/>
  <c r="H14" i="14"/>
  <c r="D8" i="39"/>
  <c r="D9" i="39"/>
  <c r="D18" i="39"/>
  <c r="D4" i="39"/>
  <c r="H16" i="14"/>
  <c r="D53" i="60"/>
  <c r="D61" i="60"/>
  <c r="D4" i="60"/>
  <c r="H42" i="14"/>
  <c r="D54" i="59"/>
  <c r="D61" i="59"/>
  <c r="D4" i="59"/>
  <c r="H41" i="14"/>
  <c r="G8" i="39"/>
  <c r="G9" i="39"/>
  <c r="G18" i="39"/>
  <c r="G4" i="39"/>
  <c r="H4" i="39"/>
  <c r="E16" i="14"/>
  <c r="D16" i="14"/>
  <c r="D66" i="61"/>
  <c r="D4" i="61"/>
  <c r="H43" i="14"/>
  <c r="D14" i="52"/>
  <c r="D4" i="52"/>
  <c r="H10" i="14"/>
  <c r="D28" i="66"/>
  <c r="D4" i="66"/>
  <c r="H29" i="14"/>
  <c r="D27" i="49"/>
  <c r="D39" i="49"/>
  <c r="D4" i="49"/>
  <c r="H34" i="14"/>
  <c r="D26" i="48"/>
  <c r="D39" i="48"/>
  <c r="D4" i="48"/>
  <c r="H33" i="14"/>
  <c r="D25" i="43"/>
  <c r="D38" i="43"/>
  <c r="D4" i="43"/>
  <c r="H25" i="14"/>
  <c r="D24" i="44"/>
  <c r="D38" i="44"/>
  <c r="D4" i="44"/>
  <c r="H26" i="14"/>
  <c r="D19" i="56"/>
  <c r="D4" i="56"/>
  <c r="H12" i="14"/>
  <c r="D8" i="3"/>
  <c r="D12" i="3"/>
  <c r="D4" i="3"/>
  <c r="H5" i="14"/>
  <c r="D8" i="38"/>
  <c r="D17" i="38"/>
  <c r="D4" i="38"/>
  <c r="H7" i="14"/>
  <c r="D6" i="55"/>
  <c r="G6" i="55"/>
  <c r="D7" i="55"/>
  <c r="G7" i="55"/>
  <c r="D20" i="55"/>
  <c r="G20" i="55"/>
  <c r="G4" i="55"/>
  <c r="D18" i="14"/>
  <c r="G13" i="37"/>
  <c r="G38" i="37"/>
  <c r="G4" i="37"/>
  <c r="H4" i="37"/>
  <c r="E15" i="14"/>
  <c r="G12" i="36"/>
  <c r="G37" i="36"/>
  <c r="G4" i="36"/>
  <c r="H4" i="36"/>
  <c r="E6" i="14"/>
  <c r="G54" i="59"/>
  <c r="G61" i="59"/>
  <c r="G4" i="59"/>
  <c r="H4" i="59"/>
  <c r="E41" i="14"/>
  <c r="G66" i="61"/>
  <c r="G4" i="61"/>
  <c r="H4" i="61"/>
  <c r="E43" i="14"/>
  <c r="H4" i="55"/>
  <c r="E18" i="14"/>
  <c r="D6" i="51"/>
  <c r="G6" i="51"/>
  <c r="D7" i="51"/>
  <c r="G7" i="51"/>
  <c r="D15" i="51"/>
  <c r="G15" i="51"/>
  <c r="G4" i="51"/>
  <c r="H4" i="51"/>
  <c r="E20" i="14"/>
  <c r="D20" i="14"/>
  <c r="D55" i="58"/>
  <c r="D58" i="58"/>
  <c r="D61" i="58"/>
  <c r="D4" i="58"/>
  <c r="H40" i="14"/>
  <c r="D15" i="14"/>
  <c r="G8" i="38"/>
  <c r="G17" i="38"/>
  <c r="G4" i="38"/>
  <c r="H4" i="38"/>
  <c r="E7" i="14"/>
  <c r="D7" i="14"/>
  <c r="G17" i="40"/>
  <c r="G37" i="40"/>
  <c r="G4" i="40"/>
  <c r="H4" i="40"/>
  <c r="E8" i="14"/>
  <c r="D8" i="14"/>
  <c r="D41" i="14"/>
  <c r="D43" i="14"/>
  <c r="G53" i="60"/>
  <c r="G61" i="60"/>
  <c r="G4" i="60"/>
  <c r="D42" i="14"/>
  <c r="H4" i="60"/>
  <c r="E42" i="14"/>
  <c r="G18" i="41"/>
  <c r="G38" i="41"/>
  <c r="G4" i="41"/>
  <c r="H4" i="41"/>
  <c r="E17" i="14"/>
  <c r="D17" i="14"/>
  <c r="G8" i="3"/>
  <c r="G12" i="3"/>
  <c r="G4" i="3"/>
  <c r="H4" i="3"/>
  <c r="E5" i="14"/>
  <c r="D5" i="14"/>
  <c r="G8" i="35"/>
  <c r="G9" i="35"/>
  <c r="G13" i="35"/>
  <c r="G4" i="35"/>
  <c r="H4" i="35"/>
  <c r="E14" i="14"/>
  <c r="D14" i="14"/>
  <c r="D6" i="50"/>
  <c r="D14" i="50"/>
  <c r="D4" i="50"/>
  <c r="H9" i="14"/>
  <c r="D6" i="64"/>
  <c r="D7" i="64"/>
  <c r="D28" i="64"/>
  <c r="D4" i="64"/>
  <c r="H28" i="14"/>
  <c r="D8" i="47"/>
  <c r="D9" i="47"/>
  <c r="D27" i="47"/>
  <c r="D4" i="47"/>
  <c r="H32" i="14"/>
  <c r="D8" i="46"/>
  <c r="D9" i="46"/>
  <c r="D26" i="46"/>
  <c r="D4" i="46"/>
  <c r="H31" i="14"/>
  <c r="D25" i="45"/>
  <c r="D4" i="45"/>
  <c r="H27" i="14"/>
  <c r="D8" i="42"/>
  <c r="D9" i="42"/>
  <c r="D24" i="42"/>
  <c r="D4" i="42"/>
  <c r="H24" i="14"/>
  <c r="D6" i="54"/>
  <c r="D19" i="54"/>
  <c r="D4" i="54"/>
  <c r="H11" i="14"/>
  <c r="G27" i="49"/>
  <c r="G39" i="49"/>
  <c r="G4" i="49"/>
  <c r="D34" i="14"/>
  <c r="G26" i="48"/>
  <c r="G39" i="48"/>
  <c r="G4" i="48"/>
  <c r="H4" i="48"/>
  <c r="E33" i="14"/>
  <c r="G8" i="47"/>
  <c r="G9" i="47"/>
  <c r="G27" i="47"/>
  <c r="G4" i="47"/>
  <c r="D32" i="14"/>
  <c r="G8" i="46"/>
  <c r="G9" i="46"/>
  <c r="G26" i="46"/>
  <c r="G4" i="46"/>
  <c r="D31" i="14"/>
  <c r="G28" i="66"/>
  <c r="G4" i="66"/>
  <c r="D29" i="14"/>
  <c r="G6" i="64"/>
  <c r="G7" i="64"/>
  <c r="G28" i="64"/>
  <c r="G4" i="64"/>
  <c r="D28" i="14"/>
  <c r="G24" i="44"/>
  <c r="G38" i="44"/>
  <c r="G4" i="44"/>
  <c r="H4" i="44"/>
  <c r="E26" i="14"/>
  <c r="G25" i="43"/>
  <c r="G38" i="43"/>
  <c r="G4" i="43"/>
  <c r="D25" i="14"/>
  <c r="G14" i="52"/>
  <c r="G4" i="52"/>
  <c r="H4" i="52"/>
  <c r="E10" i="14"/>
  <c r="D6" i="14"/>
  <c r="G55" i="58"/>
  <c r="G61" i="58"/>
  <c r="G4" i="58"/>
  <c r="H4" i="58"/>
  <c r="E40" i="14"/>
  <c r="D40" i="14"/>
  <c r="D20" i="57"/>
  <c r="G20" i="57"/>
  <c r="G4" i="57"/>
  <c r="H4" i="57"/>
  <c r="E19" i="14"/>
  <c r="D19" i="14"/>
  <c r="D15" i="53"/>
  <c r="G15" i="53"/>
  <c r="G4" i="53"/>
  <c r="H4" i="53"/>
  <c r="E21" i="14"/>
  <c r="D21" i="14"/>
  <c r="G19" i="56"/>
  <c r="G4" i="56"/>
  <c r="H4" i="56"/>
  <c r="E12" i="14"/>
  <c r="D12" i="14"/>
  <c r="G8" i="42"/>
  <c r="G9" i="42"/>
  <c r="G24" i="42"/>
  <c r="G4" i="42"/>
  <c r="H4" i="42"/>
  <c r="E24" i="14"/>
  <c r="D24" i="14"/>
  <c r="D33" i="14"/>
  <c r="H4" i="49"/>
  <c r="E34" i="14"/>
  <c r="G8" i="45"/>
  <c r="G9" i="45"/>
  <c r="G25" i="45"/>
  <c r="G4" i="45"/>
  <c r="H4" i="45"/>
  <c r="E27" i="14"/>
  <c r="D27" i="14"/>
  <c r="H4" i="47"/>
  <c r="E32" i="14"/>
  <c r="H4" i="64"/>
  <c r="E28" i="14"/>
  <c r="H4" i="43"/>
  <c r="E25" i="14"/>
  <c r="H4" i="66"/>
  <c r="E29" i="14"/>
  <c r="D26" i="14"/>
  <c r="H4" i="46"/>
  <c r="E31" i="14"/>
  <c r="D10" i="14"/>
  <c r="G6" i="50"/>
  <c r="G14" i="50"/>
  <c r="G4" i="50"/>
  <c r="D9" i="14"/>
  <c r="H4" i="50"/>
  <c r="E9" i="14"/>
  <c r="G6" i="54"/>
  <c r="G19" i="54"/>
  <c r="G4" i="54"/>
  <c r="D11" i="14"/>
  <c r="H4" i="54"/>
  <c r="E11" i="14"/>
  <c r="A16" i="71"/>
  <c r="T9" i="14"/>
  <c r="A19" i="71"/>
  <c r="T12" i="14"/>
  <c r="A18" i="71"/>
  <c r="T11" i="14"/>
  <c r="A17" i="71"/>
  <c r="T10" i="14"/>
  <c r="A20" i="71"/>
  <c r="T13" i="14"/>
  <c r="A15" i="71"/>
  <c r="T8" i="14"/>
  <c r="A14" i="71"/>
  <c r="T7" i="14"/>
  <c r="A13" i="71"/>
  <c r="T6" i="14"/>
  <c r="A12" i="71"/>
  <c r="T5" i="14"/>
  <c r="I12" i="1"/>
  <c r="I13" i="1"/>
  <c r="I27" i="1"/>
  <c r="I26" i="1"/>
  <c r="I25" i="1"/>
  <c r="I24" i="1"/>
  <c r="I19" i="1"/>
  <c r="I18" i="1"/>
  <c r="I23" i="1"/>
  <c r="I17" i="1"/>
  <c r="I11" i="1"/>
  <c r="I16" i="1"/>
  <c r="I14" i="1"/>
  <c r="C4" i="1"/>
  <c r="E59" i="26"/>
  <c r="E60" i="26"/>
  <c r="E61" i="26"/>
  <c r="E62" i="26"/>
  <c r="E63" i="26"/>
  <c r="E64" i="26"/>
  <c r="E65" i="26"/>
  <c r="F66" i="26"/>
  <c r="I42" i="1"/>
  <c r="E3" i="25"/>
  <c r="F4" i="25"/>
  <c r="I5" i="1"/>
  <c r="E8" i="25"/>
  <c r="F9" i="25"/>
  <c r="I6" i="1"/>
  <c r="E13" i="25"/>
  <c r="F14" i="25"/>
  <c r="I7" i="1"/>
  <c r="E18" i="25"/>
  <c r="F19" i="25"/>
  <c r="I8" i="1"/>
  <c r="E3" i="21"/>
  <c r="E4" i="21"/>
  <c r="E5" i="21"/>
  <c r="E6" i="21"/>
  <c r="E7" i="21"/>
  <c r="E8" i="21"/>
  <c r="E9" i="21"/>
  <c r="E10" i="21"/>
  <c r="E11" i="21"/>
  <c r="E12" i="21"/>
  <c r="E13" i="21"/>
  <c r="E14" i="21"/>
  <c r="E15" i="21"/>
  <c r="F16" i="21"/>
  <c r="I55" i="1"/>
  <c r="E81" i="26"/>
  <c r="E82" i="26"/>
  <c r="E83" i="26"/>
  <c r="E84" i="26"/>
  <c r="E85" i="26"/>
  <c r="E86" i="26"/>
  <c r="E87" i="26"/>
  <c r="F88" i="26"/>
  <c r="I44" i="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F50" i="21"/>
  <c r="I53" i="1"/>
  <c r="E54" i="21"/>
  <c r="E55" i="21"/>
  <c r="E56" i="21"/>
  <c r="E57" i="21"/>
  <c r="F58" i="21"/>
  <c r="I61" i="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F33" i="21"/>
  <c r="I54" i="1"/>
  <c r="E3" i="26"/>
  <c r="E4" i="26"/>
  <c r="E5" i="26"/>
  <c r="E6" i="26"/>
  <c r="F7" i="26"/>
  <c r="I66" i="1"/>
  <c r="I41" i="1"/>
  <c r="T38" i="71"/>
  <c r="S65" i="71"/>
  <c r="X36" i="71"/>
  <c r="X35" i="71"/>
  <c r="Z36" i="71"/>
  <c r="W35" i="71"/>
  <c r="S35" i="71"/>
  <c r="Y36" i="71"/>
  <c r="V35" i="71"/>
  <c r="S37" i="71"/>
  <c r="U35" i="71"/>
  <c r="V2" i="71"/>
  <c r="Z3" i="71"/>
  <c r="W2" i="71"/>
  <c r="Y3" i="71"/>
  <c r="T5" i="71"/>
  <c r="S32" i="71"/>
  <c r="X3" i="71"/>
  <c r="S4" i="71"/>
  <c r="X2" i="71"/>
  <c r="U2" i="71"/>
  <c r="S2" i="71"/>
  <c r="R36" i="71"/>
  <c r="N35" i="71"/>
  <c r="L38" i="71"/>
  <c r="K65" i="71"/>
  <c r="Q36" i="71"/>
  <c r="M35" i="71"/>
  <c r="K37" i="71"/>
  <c r="P36" i="71"/>
  <c r="K35" i="71"/>
  <c r="P35" i="71"/>
  <c r="O35" i="71"/>
  <c r="O2" i="71"/>
  <c r="K4" i="71"/>
  <c r="L5" i="71"/>
  <c r="K32" i="71"/>
  <c r="P3" i="71"/>
  <c r="Q3" i="71"/>
  <c r="M2" i="71"/>
  <c r="R3" i="71"/>
  <c r="N2" i="71"/>
  <c r="P2" i="71"/>
  <c r="K2" i="71"/>
  <c r="J15" i="71"/>
  <c r="J18" i="71"/>
  <c r="J14" i="71"/>
  <c r="J17" i="71"/>
  <c r="J13" i="71"/>
  <c r="J20" i="71"/>
  <c r="J16" i="71"/>
  <c r="J19" i="71"/>
  <c r="C9" i="71"/>
  <c r="S34" i="71"/>
  <c r="S1" i="71"/>
  <c r="K34" i="71"/>
  <c r="Y38" i="71"/>
  <c r="U38" i="71"/>
  <c r="X38" i="71"/>
  <c r="V38" i="71"/>
  <c r="K1" i="71"/>
  <c r="V5" i="71"/>
  <c r="Y5" i="71"/>
  <c r="U5" i="71"/>
  <c r="X5" i="71"/>
  <c r="Z38" i="71"/>
  <c r="N38" i="71"/>
  <c r="Q38" i="71"/>
  <c r="P38" i="71"/>
  <c r="M38" i="71"/>
  <c r="Z5" i="71"/>
  <c r="R38" i="71"/>
  <c r="T2" i="71"/>
  <c r="T35" i="71"/>
  <c r="L35" i="71"/>
  <c r="J12" i="71"/>
  <c r="J21" i="71"/>
  <c r="Q5" i="71"/>
  <c r="P5" i="71"/>
  <c r="N5" i="71"/>
  <c r="M5" i="71"/>
  <c r="R5" i="71"/>
  <c r="L2" i="71"/>
  <c r="Q6" i="71"/>
  <c r="Q8" i="71"/>
  <c r="Q10" i="71"/>
  <c r="Q12" i="71"/>
  <c r="N6" i="71"/>
  <c r="N8" i="71"/>
  <c r="N10" i="71"/>
  <c r="N12" i="71"/>
  <c r="M6" i="71"/>
  <c r="M8" i="71"/>
  <c r="M10" i="71"/>
  <c r="M12" i="71"/>
  <c r="P6" i="71"/>
  <c r="R6" i="71"/>
  <c r="P8" i="71"/>
  <c r="R8" i="71"/>
  <c r="P10" i="71"/>
  <c r="R10" i="71"/>
  <c r="P12" i="71"/>
  <c r="R12" i="71"/>
  <c r="U39" i="71"/>
  <c r="L39" i="71"/>
  <c r="W41" i="71"/>
  <c r="T12" i="71"/>
  <c r="M41" i="71"/>
  <c r="K41" i="71"/>
  <c r="S6" i="71"/>
  <c r="Y10" i="71"/>
  <c r="S12" i="71"/>
  <c r="N39" i="71"/>
  <c r="Y8" i="71"/>
  <c r="W43" i="71"/>
  <c r="Y39" i="71"/>
  <c r="N43" i="71"/>
  <c r="V45" i="71"/>
  <c r="Q39" i="71"/>
  <c r="T45" i="71"/>
  <c r="S10" i="71"/>
  <c r="S8" i="71"/>
  <c r="K43" i="71"/>
  <c r="W12" i="71"/>
  <c r="Y45" i="71"/>
  <c r="T6" i="71"/>
  <c r="Y41" i="71"/>
  <c r="S43" i="71"/>
  <c r="U12" i="71"/>
  <c r="L41" i="71"/>
  <c r="O41" i="71"/>
  <c r="O39" i="71"/>
  <c r="Q43" i="71"/>
  <c r="U43" i="71"/>
  <c r="Y43" i="71"/>
  <c r="T8" i="71"/>
  <c r="Y6" i="71"/>
  <c r="U8" i="71"/>
  <c r="S39" i="71"/>
  <c r="V10" i="71"/>
  <c r="L45" i="71"/>
  <c r="M43" i="71"/>
  <c r="N45" i="71"/>
  <c r="S45" i="71"/>
  <c r="Q45" i="71"/>
  <c r="U10" i="71"/>
  <c r="W8" i="71"/>
  <c r="K39" i="71"/>
  <c r="T39" i="71"/>
  <c r="S41" i="71"/>
  <c r="W45" i="71"/>
  <c r="Y12" i="71"/>
  <c r="V43" i="71"/>
  <c r="U41" i="71"/>
  <c r="V41" i="71"/>
  <c r="Q41" i="71"/>
  <c r="T10" i="71"/>
  <c r="O45" i="71"/>
  <c r="T43" i="71"/>
  <c r="L43" i="71"/>
  <c r="W10" i="71"/>
  <c r="O43" i="71"/>
  <c r="N41" i="71"/>
  <c r="V12" i="71"/>
  <c r="M45" i="71"/>
  <c r="U45" i="71"/>
  <c r="V6" i="71"/>
  <c r="V8" i="71"/>
  <c r="M39" i="71"/>
  <c r="U6" i="71"/>
  <c r="V39" i="71"/>
  <c r="W39" i="71"/>
  <c r="W6" i="71"/>
  <c r="K45" i="71"/>
  <c r="T41" i="71"/>
  <c r="X43" i="71"/>
  <c r="Z43" i="71"/>
  <c r="X41" i="71"/>
  <c r="Z41" i="71"/>
  <c r="X39" i="71"/>
  <c r="Z39" i="71"/>
  <c r="O12" i="71"/>
  <c r="L8" i="71"/>
  <c r="K8" i="71"/>
  <c r="K6" i="71"/>
  <c r="O10" i="71"/>
  <c r="K12" i="71"/>
  <c r="K10" i="71"/>
  <c r="L6" i="71"/>
  <c r="O8" i="71"/>
  <c r="L12" i="71"/>
  <c r="L10" i="71"/>
  <c r="O6" i="71"/>
  <c r="X45" i="71"/>
  <c r="Z45" i="71"/>
  <c r="X12" i="71"/>
  <c r="Z12" i="71"/>
  <c r="X10" i="71"/>
  <c r="Z10" i="71"/>
  <c r="X8" i="71"/>
  <c r="Z8" i="71"/>
  <c r="X6" i="71"/>
  <c r="Z6" i="71"/>
  <c r="P41" i="71"/>
  <c r="R41" i="71"/>
  <c r="P45" i="71"/>
  <c r="R45" i="71"/>
  <c r="P43" i="71"/>
  <c r="R43" i="71"/>
  <c r="P39" i="71"/>
  <c r="R39" i="71"/>
  <c r="F4" i="34"/>
  <c r="G4" i="34"/>
  <c r="H4" i="34"/>
  <c r="M68" i="34"/>
  <c r="E68" i="34"/>
  <c r="D68" i="34"/>
  <c r="C68" i="34"/>
  <c r="B68" i="34"/>
  <c r="A68" i="34"/>
  <c r="M67" i="34"/>
  <c r="E67" i="34"/>
  <c r="D67" i="34"/>
  <c r="C67" i="34"/>
  <c r="B67" i="34"/>
  <c r="A67" i="34"/>
  <c r="M66" i="34"/>
  <c r="E66" i="34"/>
  <c r="C66" i="34"/>
  <c r="B66" i="34"/>
  <c r="A66" i="34"/>
  <c r="M65" i="34"/>
  <c r="E65" i="34"/>
  <c r="D65" i="34"/>
  <c r="C65" i="34"/>
  <c r="B65" i="34"/>
  <c r="A65" i="34"/>
  <c r="M64" i="34"/>
  <c r="E64" i="34"/>
  <c r="D64" i="34"/>
  <c r="C64" i="34"/>
  <c r="B64" i="34"/>
  <c r="A64" i="34"/>
  <c r="M63" i="34"/>
  <c r="E63" i="34"/>
  <c r="D63" i="34"/>
  <c r="A63" i="34"/>
  <c r="M62" i="34"/>
  <c r="E62" i="34"/>
  <c r="D62" i="34"/>
  <c r="C62" i="34"/>
  <c r="M61" i="34"/>
  <c r="E61" i="34"/>
  <c r="C61" i="34"/>
  <c r="B61" i="34"/>
  <c r="A61" i="34"/>
  <c r="M60" i="34"/>
  <c r="E60" i="34"/>
  <c r="D60" i="34"/>
  <c r="C60" i="34"/>
  <c r="B60" i="34"/>
  <c r="A60" i="34"/>
  <c r="M59" i="34"/>
  <c r="E59" i="34"/>
  <c r="D59" i="34"/>
  <c r="C59" i="34"/>
  <c r="B59" i="34"/>
  <c r="A59" i="34"/>
  <c r="M58" i="34"/>
  <c r="E58" i="34"/>
  <c r="D58" i="34"/>
  <c r="C58" i="34"/>
  <c r="B58" i="34"/>
  <c r="A58" i="34"/>
  <c r="M57" i="34"/>
  <c r="E57" i="34"/>
  <c r="D57" i="34"/>
  <c r="A57" i="34"/>
  <c r="M56" i="34"/>
  <c r="E56" i="34"/>
  <c r="D56" i="34"/>
  <c r="C56" i="34"/>
  <c r="M55" i="34"/>
  <c r="E55" i="34"/>
  <c r="C55" i="34"/>
  <c r="B55" i="34"/>
  <c r="A55" i="34"/>
  <c r="M54" i="34"/>
  <c r="E54" i="34"/>
  <c r="C54" i="34"/>
  <c r="B54" i="34"/>
  <c r="A54" i="34"/>
  <c r="M53" i="34"/>
  <c r="E53" i="34"/>
  <c r="C53" i="34"/>
  <c r="B53" i="34"/>
  <c r="A53" i="34"/>
  <c r="M52" i="34"/>
  <c r="E52" i="34"/>
  <c r="D52" i="34"/>
  <c r="B52" i="34"/>
  <c r="A52" i="34"/>
  <c r="M51" i="34"/>
  <c r="E51" i="34"/>
  <c r="D51" i="34"/>
  <c r="M50" i="34"/>
  <c r="E50" i="34"/>
  <c r="D50" i="34"/>
  <c r="M49" i="34"/>
  <c r="E49" i="34"/>
  <c r="D49" i="34"/>
  <c r="C49" i="34"/>
  <c r="B49" i="34"/>
  <c r="A49" i="34"/>
  <c r="M48" i="34"/>
  <c r="E48" i="34"/>
  <c r="D48" i="34"/>
  <c r="C48" i="34"/>
  <c r="B48" i="34"/>
  <c r="A48" i="34"/>
  <c r="M47" i="34"/>
  <c r="E47" i="34"/>
  <c r="D47" i="34"/>
  <c r="C47" i="34"/>
  <c r="B47" i="34"/>
  <c r="A47" i="34"/>
  <c r="M46" i="34"/>
  <c r="E46" i="34"/>
  <c r="C46" i="34"/>
  <c r="B46" i="34"/>
  <c r="A46" i="34"/>
  <c r="M45" i="34"/>
  <c r="E45" i="34"/>
  <c r="D45" i="34"/>
  <c r="C45" i="34"/>
  <c r="B45" i="34"/>
  <c r="A45" i="34"/>
  <c r="M44" i="34"/>
  <c r="E44" i="34"/>
  <c r="C44" i="34"/>
  <c r="B44" i="34"/>
  <c r="A44" i="34"/>
  <c r="M43" i="34"/>
  <c r="E43" i="34"/>
  <c r="D43" i="34"/>
  <c r="C43" i="34"/>
  <c r="B43" i="34"/>
  <c r="A43" i="34"/>
  <c r="M42" i="34"/>
  <c r="E42" i="34"/>
  <c r="C42" i="34"/>
  <c r="B42" i="34"/>
  <c r="A42" i="34"/>
  <c r="M41" i="34"/>
  <c r="E41" i="34"/>
  <c r="D41" i="34"/>
  <c r="B41" i="34"/>
  <c r="A41" i="34"/>
  <c r="M40" i="34"/>
  <c r="E40" i="34"/>
  <c r="D40" i="34"/>
  <c r="M39" i="34"/>
  <c r="E39" i="34"/>
  <c r="D39" i="34"/>
  <c r="C39" i="34"/>
  <c r="B39" i="34"/>
  <c r="A39" i="34"/>
  <c r="M38" i="34"/>
  <c r="E38" i="34"/>
  <c r="D38" i="34"/>
  <c r="C38" i="34"/>
  <c r="B38" i="34"/>
  <c r="A38" i="34"/>
  <c r="M37" i="34"/>
  <c r="E37" i="34"/>
  <c r="D37" i="34"/>
  <c r="C37" i="34"/>
  <c r="B37" i="34"/>
  <c r="A37" i="34"/>
  <c r="M36" i="34"/>
  <c r="E36" i="34"/>
  <c r="D36" i="34"/>
  <c r="C36" i="34"/>
  <c r="B36" i="34"/>
  <c r="A36" i="34"/>
  <c r="M35" i="34"/>
  <c r="E35" i="34"/>
  <c r="D35" i="34"/>
  <c r="C35" i="34"/>
  <c r="B35" i="34"/>
  <c r="A35" i="34"/>
  <c r="M34" i="34"/>
  <c r="E34" i="34"/>
  <c r="D34" i="34"/>
  <c r="C34" i="34"/>
  <c r="B34" i="34"/>
  <c r="A34" i="34"/>
  <c r="M33" i="34"/>
  <c r="E33" i="34"/>
  <c r="D33" i="34"/>
  <c r="C33" i="34"/>
  <c r="B33" i="34"/>
  <c r="A33" i="34"/>
  <c r="M32" i="34"/>
  <c r="E32" i="34"/>
  <c r="D32" i="34"/>
  <c r="M31" i="34"/>
  <c r="E31" i="34"/>
  <c r="D31" i="34"/>
  <c r="C31" i="34"/>
  <c r="B31" i="34"/>
  <c r="A31" i="34"/>
  <c r="M30" i="34"/>
  <c r="E30" i="34"/>
  <c r="D30" i="34"/>
  <c r="C30" i="34"/>
  <c r="B30" i="34"/>
  <c r="A30" i="34"/>
  <c r="M29" i="34"/>
  <c r="E29" i="34"/>
  <c r="D29" i="34"/>
  <c r="C29" i="34"/>
  <c r="B29" i="34"/>
  <c r="A29" i="34"/>
  <c r="M28" i="34"/>
  <c r="E28" i="34"/>
  <c r="C28" i="34"/>
  <c r="B28" i="34"/>
  <c r="A28" i="34"/>
  <c r="M27" i="34"/>
  <c r="E27" i="34"/>
  <c r="C27" i="34"/>
  <c r="B27" i="34"/>
  <c r="A27" i="34"/>
  <c r="M26" i="34"/>
  <c r="E26" i="34"/>
  <c r="C26" i="34"/>
  <c r="B26" i="34"/>
  <c r="A26" i="34"/>
  <c r="M25" i="34"/>
  <c r="E25" i="34"/>
  <c r="C25" i="34"/>
  <c r="B25" i="34"/>
  <c r="A25" i="34"/>
  <c r="M24" i="34"/>
  <c r="E24" i="34"/>
  <c r="C24" i="34"/>
  <c r="B24" i="34"/>
  <c r="A24" i="34"/>
  <c r="M23" i="34"/>
  <c r="M22" i="34"/>
  <c r="E22" i="34"/>
  <c r="D22" i="34"/>
  <c r="C22" i="34"/>
  <c r="B22" i="34"/>
  <c r="A22" i="34"/>
  <c r="M21" i="34"/>
  <c r="E21" i="34"/>
  <c r="D21" i="34"/>
  <c r="C21" i="34"/>
  <c r="B21" i="34"/>
  <c r="A21" i="34"/>
  <c r="M20" i="34"/>
  <c r="E20" i="34"/>
  <c r="C20" i="34"/>
  <c r="B20" i="34"/>
  <c r="A20" i="34"/>
  <c r="M19" i="34"/>
  <c r="E19" i="34"/>
  <c r="C19" i="34"/>
  <c r="B19" i="34"/>
  <c r="A19" i="34"/>
  <c r="M18" i="34"/>
  <c r="E18" i="34"/>
  <c r="C18" i="34"/>
  <c r="B18" i="34"/>
  <c r="A18" i="34"/>
  <c r="M17" i="34"/>
  <c r="E17" i="34"/>
  <c r="C17" i="34"/>
  <c r="B17" i="34"/>
  <c r="A17" i="34"/>
  <c r="M16" i="34"/>
  <c r="D16" i="34"/>
  <c r="M15" i="34"/>
  <c r="E15" i="34"/>
  <c r="C15" i="34"/>
  <c r="B15" i="34"/>
  <c r="A15" i="34"/>
  <c r="M14" i="34"/>
  <c r="E14" i="34"/>
  <c r="C14" i="34"/>
  <c r="B14" i="34"/>
  <c r="A14" i="34"/>
  <c r="M13" i="34"/>
  <c r="E13" i="34"/>
  <c r="C13" i="34"/>
  <c r="B13" i="34"/>
  <c r="A13" i="34"/>
  <c r="M12" i="34"/>
  <c r="E12" i="34"/>
  <c r="C12" i="34"/>
  <c r="B12" i="34"/>
  <c r="A12" i="34"/>
  <c r="M11" i="34"/>
  <c r="D11" i="34"/>
  <c r="B11" i="34"/>
  <c r="A11" i="34"/>
  <c r="M10" i="34"/>
  <c r="D10" i="34"/>
  <c r="M9" i="34"/>
  <c r="E9" i="34"/>
  <c r="C9" i="34"/>
  <c r="B9" i="34"/>
  <c r="A9" i="34"/>
  <c r="M8" i="34"/>
  <c r="E8" i="34"/>
  <c r="C8" i="34"/>
  <c r="B8" i="34"/>
  <c r="A8" i="34"/>
  <c r="M7" i="34"/>
  <c r="E7" i="34"/>
  <c r="C7" i="34"/>
  <c r="B7" i="34"/>
  <c r="A7" i="34"/>
  <c r="M6" i="34"/>
  <c r="E6" i="34"/>
  <c r="C6" i="34"/>
  <c r="B6" i="34"/>
  <c r="A6" i="34"/>
  <c r="M5" i="34"/>
  <c r="B5" i="34"/>
  <c r="A5" i="34"/>
  <c r="D4" i="34"/>
  <c r="L4" i="34"/>
  <c r="C4" i="34"/>
  <c r="B2" i="34"/>
  <c r="M4" i="34"/>
  <c r="D7" i="34"/>
  <c r="D8" i="34"/>
  <c r="D6" i="34"/>
  <c r="D9" i="34"/>
  <c r="D54" i="34"/>
  <c r="D53" i="34"/>
  <c r="D44" i="34"/>
  <c r="D55" i="34"/>
  <c r="D66" i="34"/>
  <c r="D13" i="34"/>
  <c r="D61" i="34"/>
  <c r="D18" i="34"/>
  <c r="D20" i="34"/>
  <c r="D12" i="34"/>
  <c r="D15" i="34"/>
  <c r="D17" i="34"/>
  <c r="C5" i="34"/>
  <c r="I4" i="34"/>
  <c r="K4" i="34"/>
  <c r="D19" i="34"/>
  <c r="D14" i="34"/>
  <c r="D25" i="34"/>
  <c r="D24" i="34"/>
  <c r="D27" i="34"/>
  <c r="D42" i="34"/>
  <c r="D46" i="34"/>
  <c r="D28" i="34"/>
  <c r="D26" i="34"/>
  <c r="Q68" i="55"/>
  <c r="Q67" i="55"/>
  <c r="Q66" i="55"/>
  <c r="Q65" i="55"/>
  <c r="Q64" i="55"/>
  <c r="Q63" i="55"/>
  <c r="Q62" i="55"/>
  <c r="Q61" i="55"/>
  <c r="Q60" i="55"/>
  <c r="Q59" i="55"/>
  <c r="Q58" i="55"/>
  <c r="Q57" i="55"/>
  <c r="Q56" i="55"/>
  <c r="Q55" i="55"/>
  <c r="Q54" i="55"/>
  <c r="Q53" i="55"/>
  <c r="Q52" i="55"/>
  <c r="Q51" i="55"/>
  <c r="Q50" i="55"/>
  <c r="Q49" i="55"/>
  <c r="Q48" i="55"/>
  <c r="Q47" i="55"/>
  <c r="Q46" i="55"/>
  <c r="Q45" i="55"/>
  <c r="Q44" i="55"/>
  <c r="Q43" i="55"/>
  <c r="Q42" i="55"/>
  <c r="Q41" i="55"/>
  <c r="Q40" i="55"/>
  <c r="Q39" i="55"/>
  <c r="Q38" i="55"/>
  <c r="Q37" i="55"/>
  <c r="Q36" i="55"/>
  <c r="Q35" i="55"/>
  <c r="Q34" i="55"/>
  <c r="Q33" i="55"/>
  <c r="Q32" i="55"/>
  <c r="Q31" i="55"/>
  <c r="Q30" i="55"/>
  <c r="Q29" i="55"/>
  <c r="Q28" i="55"/>
  <c r="Q27" i="55"/>
  <c r="Q26" i="55"/>
  <c r="Q25" i="55"/>
  <c r="Q24" i="55"/>
  <c r="Q23" i="55"/>
  <c r="Q22" i="55"/>
  <c r="Q21" i="55"/>
  <c r="Q19" i="55"/>
  <c r="Q18" i="55"/>
  <c r="Q17" i="55"/>
  <c r="Q16" i="55"/>
  <c r="Q15" i="55"/>
  <c r="Q14" i="55"/>
  <c r="Q13" i="55"/>
  <c r="Q12" i="55"/>
  <c r="Q11" i="55"/>
  <c r="Q10" i="55"/>
  <c r="Q9" i="55"/>
  <c r="Q8" i="55"/>
  <c r="Q5" i="55"/>
  <c r="Q7" i="55"/>
  <c r="M68" i="55"/>
  <c r="E68" i="55"/>
  <c r="D68" i="55"/>
  <c r="C68" i="55"/>
  <c r="B68" i="55"/>
  <c r="A68" i="55"/>
  <c r="M67" i="55"/>
  <c r="E67" i="55"/>
  <c r="D67" i="55"/>
  <c r="C67" i="55"/>
  <c r="B67" i="55"/>
  <c r="A67" i="55"/>
  <c r="M66" i="55"/>
  <c r="E66" i="55"/>
  <c r="C66" i="55"/>
  <c r="B66" i="55"/>
  <c r="A66" i="55"/>
  <c r="M65" i="55"/>
  <c r="E65" i="55"/>
  <c r="D65" i="55"/>
  <c r="C65" i="55"/>
  <c r="B65" i="55"/>
  <c r="A65" i="55"/>
  <c r="M64" i="55"/>
  <c r="E64" i="55"/>
  <c r="D64" i="55"/>
  <c r="C64" i="55"/>
  <c r="B64" i="55"/>
  <c r="A64" i="55"/>
  <c r="M63" i="55"/>
  <c r="E63" i="55"/>
  <c r="D63" i="55"/>
  <c r="A63" i="55"/>
  <c r="M62" i="55"/>
  <c r="E62" i="55"/>
  <c r="D62" i="55"/>
  <c r="C62" i="55"/>
  <c r="M61" i="55"/>
  <c r="E61" i="55"/>
  <c r="C61" i="55"/>
  <c r="B61" i="55"/>
  <c r="A61" i="55"/>
  <c r="M60" i="55"/>
  <c r="E60" i="55"/>
  <c r="D60" i="55"/>
  <c r="C60" i="55"/>
  <c r="B60" i="55"/>
  <c r="A60" i="55"/>
  <c r="M59" i="55"/>
  <c r="E59" i="55"/>
  <c r="D59" i="55"/>
  <c r="C59" i="55"/>
  <c r="B59" i="55"/>
  <c r="A59" i="55"/>
  <c r="M58" i="55"/>
  <c r="E58" i="55"/>
  <c r="D58" i="55"/>
  <c r="C58" i="55"/>
  <c r="B58" i="55"/>
  <c r="A58" i="55"/>
  <c r="M57" i="55"/>
  <c r="E57" i="55"/>
  <c r="D57" i="55"/>
  <c r="A57" i="55"/>
  <c r="M56" i="55"/>
  <c r="E56" i="55"/>
  <c r="D56" i="55"/>
  <c r="C56" i="55"/>
  <c r="M55" i="55"/>
  <c r="E55" i="55"/>
  <c r="C55" i="55"/>
  <c r="B55" i="55"/>
  <c r="A55" i="55"/>
  <c r="M54" i="55"/>
  <c r="E54" i="55"/>
  <c r="C54" i="55"/>
  <c r="B54" i="55"/>
  <c r="A54" i="55"/>
  <c r="M53" i="55"/>
  <c r="E53" i="55"/>
  <c r="C53" i="55"/>
  <c r="B53" i="55"/>
  <c r="A53" i="55"/>
  <c r="M52" i="55"/>
  <c r="E52" i="55"/>
  <c r="D52" i="55"/>
  <c r="B52" i="55"/>
  <c r="A52" i="55"/>
  <c r="M51" i="55"/>
  <c r="E51" i="55"/>
  <c r="D51" i="55"/>
  <c r="M50" i="55"/>
  <c r="E50" i="55"/>
  <c r="D50" i="55"/>
  <c r="M49" i="55"/>
  <c r="E49" i="55"/>
  <c r="D49" i="55"/>
  <c r="C49" i="55"/>
  <c r="B49" i="55"/>
  <c r="A49" i="55"/>
  <c r="M48" i="55"/>
  <c r="E48" i="55"/>
  <c r="D48" i="55"/>
  <c r="C48" i="55"/>
  <c r="B48" i="55"/>
  <c r="A48" i="55"/>
  <c r="M47" i="55"/>
  <c r="E47" i="55"/>
  <c r="D47" i="55"/>
  <c r="C47" i="55"/>
  <c r="B47" i="55"/>
  <c r="A47" i="55"/>
  <c r="M46" i="55"/>
  <c r="E46" i="55"/>
  <c r="C46" i="55"/>
  <c r="B46" i="55"/>
  <c r="A46" i="55"/>
  <c r="M45" i="55"/>
  <c r="E45" i="55"/>
  <c r="D45" i="55"/>
  <c r="C45" i="55"/>
  <c r="B45" i="55"/>
  <c r="A45" i="55"/>
  <c r="M44" i="55"/>
  <c r="E44" i="55"/>
  <c r="C44" i="55"/>
  <c r="B44" i="55"/>
  <c r="A44" i="55"/>
  <c r="M43" i="55"/>
  <c r="E43" i="55"/>
  <c r="C43" i="55"/>
  <c r="B43" i="55"/>
  <c r="A43" i="55"/>
  <c r="M42" i="55"/>
  <c r="E42" i="55"/>
  <c r="C42" i="55"/>
  <c r="B42" i="55"/>
  <c r="A42" i="55"/>
  <c r="M41" i="55"/>
  <c r="E41" i="55"/>
  <c r="D41" i="55"/>
  <c r="B41" i="55"/>
  <c r="A41" i="55"/>
  <c r="M40" i="55"/>
  <c r="E40" i="55"/>
  <c r="D40" i="55"/>
  <c r="M39" i="55"/>
  <c r="E39" i="55"/>
  <c r="D39" i="55"/>
  <c r="C39" i="55"/>
  <c r="B39" i="55"/>
  <c r="A39" i="55"/>
  <c r="M38" i="55"/>
  <c r="E38" i="55"/>
  <c r="D38" i="55"/>
  <c r="C38" i="55"/>
  <c r="B38" i="55"/>
  <c r="A38" i="55"/>
  <c r="M37" i="55"/>
  <c r="E37" i="55"/>
  <c r="D37" i="55"/>
  <c r="C37" i="55"/>
  <c r="B37" i="55"/>
  <c r="A37" i="55"/>
  <c r="M36" i="55"/>
  <c r="E36" i="55"/>
  <c r="D36" i="55"/>
  <c r="C36" i="55"/>
  <c r="B36" i="55"/>
  <c r="A36" i="55"/>
  <c r="M35" i="55"/>
  <c r="E35" i="55"/>
  <c r="D35" i="55"/>
  <c r="C35" i="55"/>
  <c r="B35" i="55"/>
  <c r="A35" i="55"/>
  <c r="M34" i="55"/>
  <c r="E34" i="55"/>
  <c r="D34" i="55"/>
  <c r="C34" i="55"/>
  <c r="B34" i="55"/>
  <c r="A34" i="55"/>
  <c r="M33" i="55"/>
  <c r="E33" i="55"/>
  <c r="D33" i="55"/>
  <c r="C33" i="55"/>
  <c r="B33" i="55"/>
  <c r="A33" i="55"/>
  <c r="M32" i="55"/>
  <c r="E32" i="55"/>
  <c r="D32" i="55"/>
  <c r="M31" i="55"/>
  <c r="E31" i="55"/>
  <c r="D31" i="55"/>
  <c r="C31" i="55"/>
  <c r="B31" i="55"/>
  <c r="A31" i="55"/>
  <c r="M30" i="55"/>
  <c r="E30" i="55"/>
  <c r="D30" i="55"/>
  <c r="C30" i="55"/>
  <c r="B30" i="55"/>
  <c r="A30" i="55"/>
  <c r="M29" i="55"/>
  <c r="E29" i="55"/>
  <c r="D29" i="55"/>
  <c r="C29" i="55"/>
  <c r="B29" i="55"/>
  <c r="A29" i="55"/>
  <c r="M28" i="55"/>
  <c r="E28" i="55"/>
  <c r="C28" i="55"/>
  <c r="B28" i="55"/>
  <c r="A28" i="55"/>
  <c r="M27" i="55"/>
  <c r="E27" i="55"/>
  <c r="C27" i="55"/>
  <c r="B27" i="55"/>
  <c r="A27" i="55"/>
  <c r="M26" i="55"/>
  <c r="E26" i="55"/>
  <c r="C26" i="55"/>
  <c r="B26" i="55"/>
  <c r="A26" i="55"/>
  <c r="M25" i="55"/>
  <c r="E25" i="55"/>
  <c r="C25" i="55"/>
  <c r="B25" i="55"/>
  <c r="A25" i="55"/>
  <c r="M24" i="55"/>
  <c r="E24" i="55"/>
  <c r="C24" i="55"/>
  <c r="B24" i="55"/>
  <c r="A24" i="55"/>
  <c r="M23" i="55"/>
  <c r="M22" i="55"/>
  <c r="E22" i="55"/>
  <c r="D22" i="55"/>
  <c r="C22" i="55"/>
  <c r="B22" i="55"/>
  <c r="A22" i="55"/>
  <c r="M21" i="55"/>
  <c r="E21" i="55"/>
  <c r="D21" i="55"/>
  <c r="C21" i="55"/>
  <c r="B21" i="55"/>
  <c r="A21" i="55"/>
  <c r="B20" i="55"/>
  <c r="A20" i="55"/>
  <c r="M19" i="55"/>
  <c r="E19" i="55"/>
  <c r="C19" i="55"/>
  <c r="B19" i="55"/>
  <c r="A19" i="55"/>
  <c r="M18" i="55"/>
  <c r="E18" i="55"/>
  <c r="C18" i="55"/>
  <c r="B18" i="55"/>
  <c r="A18" i="55"/>
  <c r="M17" i="55"/>
  <c r="E17" i="55"/>
  <c r="C17" i="55"/>
  <c r="B17" i="55"/>
  <c r="A17" i="55"/>
  <c r="M16" i="55"/>
  <c r="D16" i="55"/>
  <c r="M15" i="55"/>
  <c r="E15" i="55"/>
  <c r="C15" i="55"/>
  <c r="B15" i="55"/>
  <c r="A15" i="55"/>
  <c r="M14" i="55"/>
  <c r="E14" i="55"/>
  <c r="C14" i="55"/>
  <c r="B14" i="55"/>
  <c r="A14" i="55"/>
  <c r="M13" i="55"/>
  <c r="E13" i="55"/>
  <c r="C13" i="55"/>
  <c r="B13" i="55"/>
  <c r="A13" i="55"/>
  <c r="M12" i="55"/>
  <c r="E12" i="55"/>
  <c r="C12" i="55"/>
  <c r="B12" i="55"/>
  <c r="A12" i="55"/>
  <c r="M11" i="55"/>
  <c r="D11" i="55"/>
  <c r="B11" i="55"/>
  <c r="A11" i="55"/>
  <c r="M10" i="55"/>
  <c r="D10" i="55"/>
  <c r="E9" i="55"/>
  <c r="C9" i="55"/>
  <c r="M9" i="55"/>
  <c r="B9" i="55"/>
  <c r="A9" i="55"/>
  <c r="E8" i="55"/>
  <c r="C8" i="55"/>
  <c r="B8" i="55"/>
  <c r="A8" i="55"/>
  <c r="B7" i="55"/>
  <c r="A7" i="55"/>
  <c r="C4" i="55"/>
  <c r="B6" i="55"/>
  <c r="A6" i="55"/>
  <c r="M5" i="55"/>
  <c r="B5" i="55"/>
  <c r="A5" i="55"/>
  <c r="B2" i="55"/>
  <c r="M7" i="55"/>
  <c r="D43" i="55"/>
  <c r="M8" i="55"/>
  <c r="M20" i="55"/>
  <c r="Q20" i="55"/>
  <c r="M6" i="55"/>
  <c r="Q6" i="55"/>
  <c r="W33" i="55"/>
  <c r="R5" i="55"/>
  <c r="R8" i="55"/>
  <c r="X6" i="55"/>
  <c r="X8" i="55"/>
  <c r="X10" i="55"/>
  <c r="X12" i="55"/>
  <c r="X14" i="55"/>
  <c r="X16" i="55"/>
  <c r="X18" i="55"/>
  <c r="X20" i="55"/>
  <c r="X22" i="55"/>
  <c r="X24" i="55"/>
  <c r="V27" i="55"/>
  <c r="R31" i="55"/>
  <c r="X67" i="55"/>
  <c r="X65" i="55"/>
  <c r="X63" i="55"/>
  <c r="X61" i="55"/>
  <c r="X59" i="55"/>
  <c r="X57" i="55"/>
  <c r="X55" i="55"/>
  <c r="X53" i="55"/>
  <c r="X51" i="55"/>
  <c r="X49" i="55"/>
  <c r="X47" i="55"/>
  <c r="X45" i="55"/>
  <c r="X43" i="55"/>
  <c r="X41" i="55"/>
  <c r="X39" i="55"/>
  <c r="X37" i="55"/>
  <c r="X35" i="55"/>
  <c r="X33" i="55"/>
  <c r="X31" i="55"/>
  <c r="X29" i="55"/>
  <c r="X27" i="55"/>
  <c r="S68" i="55"/>
  <c r="S66" i="55"/>
  <c r="S64" i="55"/>
  <c r="S62" i="55"/>
  <c r="S60" i="55"/>
  <c r="S58" i="55"/>
  <c r="S56" i="55"/>
  <c r="S54" i="55"/>
  <c r="S52" i="55"/>
  <c r="S50" i="55"/>
  <c r="S48" i="55"/>
  <c r="S46" i="55"/>
  <c r="S44" i="55"/>
  <c r="S42" i="55"/>
  <c r="S40" i="55"/>
  <c r="S38" i="55"/>
  <c r="S36" i="55"/>
  <c r="S34" i="55"/>
  <c r="R67" i="55"/>
  <c r="R65" i="55"/>
  <c r="R63" i="55"/>
  <c r="R61" i="55"/>
  <c r="R59" i="55"/>
  <c r="R57" i="55"/>
  <c r="R55" i="55"/>
  <c r="R53" i="55"/>
  <c r="R51" i="55"/>
  <c r="R49" i="55"/>
  <c r="R47" i="55"/>
  <c r="R45" i="55"/>
  <c r="R43" i="55"/>
  <c r="R41" i="55"/>
  <c r="R39" i="55"/>
  <c r="R37" i="55"/>
  <c r="R35" i="55"/>
  <c r="R33" i="55"/>
  <c r="U68" i="55"/>
  <c r="U64" i="55"/>
  <c r="U60" i="55"/>
  <c r="U56" i="55"/>
  <c r="U52" i="55"/>
  <c r="U48" i="55"/>
  <c r="U44" i="55"/>
  <c r="U40" i="55"/>
  <c r="U36" i="55"/>
  <c r="R6" i="55"/>
  <c r="V6" i="55"/>
  <c r="V9" i="55"/>
  <c r="T5" i="55"/>
  <c r="T7" i="55"/>
  <c r="T9" i="55"/>
  <c r="T11" i="55"/>
  <c r="T13" i="55"/>
  <c r="T15" i="55"/>
  <c r="T17" i="55"/>
  <c r="T19" i="55"/>
  <c r="T21" i="55"/>
  <c r="T23" i="55"/>
  <c r="T25" i="55"/>
  <c r="S28" i="55"/>
  <c r="S32" i="55"/>
  <c r="T67" i="55"/>
  <c r="T65" i="55"/>
  <c r="T63" i="55"/>
  <c r="T61" i="55"/>
  <c r="T59" i="55"/>
  <c r="T57" i="55"/>
  <c r="T55" i="55"/>
  <c r="T53" i="55"/>
  <c r="T51" i="55"/>
  <c r="T49" i="55"/>
  <c r="T47" i="55"/>
  <c r="T45" i="55"/>
  <c r="T43" i="55"/>
  <c r="T41" i="55"/>
  <c r="T39" i="55"/>
  <c r="T37" i="55"/>
  <c r="T35" i="55"/>
  <c r="T33" i="55"/>
  <c r="T31" i="55"/>
  <c r="T29" i="55"/>
  <c r="T27" i="55"/>
  <c r="W67" i="55"/>
  <c r="W65" i="55"/>
  <c r="W63" i="55"/>
  <c r="W61" i="55"/>
  <c r="W59" i="55"/>
  <c r="W57" i="55"/>
  <c r="W55" i="55"/>
  <c r="W53" i="55"/>
  <c r="W51" i="55"/>
  <c r="W49" i="55"/>
  <c r="W47" i="55"/>
  <c r="W45" i="55"/>
  <c r="W43" i="55"/>
  <c r="W41" i="55"/>
  <c r="W39" i="55"/>
  <c r="W37" i="55"/>
  <c r="W35" i="55"/>
  <c r="V68" i="55"/>
  <c r="V66" i="55"/>
  <c r="V64" i="55"/>
  <c r="V62" i="55"/>
  <c r="V60" i="55"/>
  <c r="V58" i="55"/>
  <c r="V56" i="55"/>
  <c r="V54" i="55"/>
  <c r="V52" i="55"/>
  <c r="V50" i="55"/>
  <c r="V48" i="55"/>
  <c r="V46" i="55"/>
  <c r="V44" i="55"/>
  <c r="V42" i="55"/>
  <c r="V40" i="55"/>
  <c r="V38" i="55"/>
  <c r="V36" i="55"/>
  <c r="V34" i="55"/>
  <c r="V32" i="55"/>
  <c r="U67" i="55"/>
  <c r="U63" i="55"/>
  <c r="U59" i="55"/>
  <c r="U55" i="55"/>
  <c r="U51" i="55"/>
  <c r="U47" i="55"/>
  <c r="U43" i="55"/>
  <c r="U39" i="55"/>
  <c r="U35" i="55"/>
  <c r="U31" i="55"/>
  <c r="U7" i="55"/>
  <c r="U11" i="55"/>
  <c r="V7" i="55"/>
  <c r="R9" i="55"/>
  <c r="R7" i="55"/>
  <c r="X9" i="55"/>
  <c r="X11" i="55"/>
  <c r="X13" i="55"/>
  <c r="X15" i="55"/>
  <c r="X17" i="55"/>
  <c r="X19" i="55"/>
  <c r="X21" i="55"/>
  <c r="X23" i="55"/>
  <c r="X25" i="55"/>
  <c r="V29" i="55"/>
  <c r="X68" i="55"/>
  <c r="X66" i="55"/>
  <c r="X64" i="55"/>
  <c r="X62" i="55"/>
  <c r="X60" i="55"/>
  <c r="X58" i="55"/>
  <c r="X56" i="55"/>
  <c r="X54" i="55"/>
  <c r="X52" i="55"/>
  <c r="X50" i="55"/>
  <c r="X48" i="55"/>
  <c r="X46" i="55"/>
  <c r="X44" i="55"/>
  <c r="X42" i="55"/>
  <c r="X40" i="55"/>
  <c r="X38" i="55"/>
  <c r="X36" i="55"/>
  <c r="X34" i="55"/>
  <c r="X32" i="55"/>
  <c r="X30" i="55"/>
  <c r="X28" i="55"/>
  <c r="X26" i="55"/>
  <c r="S67" i="55"/>
  <c r="S65" i="55"/>
  <c r="S63" i="55"/>
  <c r="S61" i="55"/>
  <c r="S59" i="55"/>
  <c r="S57" i="55"/>
  <c r="S55" i="55"/>
  <c r="S53" i="55"/>
  <c r="S51" i="55"/>
  <c r="S49" i="55"/>
  <c r="S47" i="55"/>
  <c r="S45" i="55"/>
  <c r="S43" i="55"/>
  <c r="S41" i="55"/>
  <c r="S39" i="55"/>
  <c r="S37" i="55"/>
  <c r="S35" i="55"/>
  <c r="R68" i="55"/>
  <c r="R66" i="55"/>
  <c r="R64" i="55"/>
  <c r="R62" i="55"/>
  <c r="R60" i="55"/>
  <c r="R58" i="55"/>
  <c r="R56" i="55"/>
  <c r="R54" i="55"/>
  <c r="R52" i="55"/>
  <c r="R50" i="55"/>
  <c r="R48" i="55"/>
  <c r="R46" i="55"/>
  <c r="R44" i="55"/>
  <c r="R42" i="55"/>
  <c r="R40" i="55"/>
  <c r="R38" i="55"/>
  <c r="R36" i="55"/>
  <c r="R34" i="55"/>
  <c r="R32" i="55"/>
  <c r="U66" i="55"/>
  <c r="U62" i="55"/>
  <c r="U58" i="55"/>
  <c r="U54" i="55"/>
  <c r="U50" i="55"/>
  <c r="U46" i="55"/>
  <c r="U42" i="55"/>
  <c r="U38" i="55"/>
  <c r="R10" i="55"/>
  <c r="V5" i="55"/>
  <c r="V8" i="55"/>
  <c r="T6" i="55"/>
  <c r="T8" i="55"/>
  <c r="T10" i="55"/>
  <c r="T12" i="55"/>
  <c r="T14" i="55"/>
  <c r="T16" i="55"/>
  <c r="T18" i="55"/>
  <c r="T20" i="55"/>
  <c r="T22" i="55"/>
  <c r="T24" i="55"/>
  <c r="T26" i="55"/>
  <c r="S30" i="55"/>
  <c r="T68" i="55"/>
  <c r="T66" i="55"/>
  <c r="T64" i="55"/>
  <c r="T62" i="55"/>
  <c r="T60" i="55"/>
  <c r="T58" i="55"/>
  <c r="T56" i="55"/>
  <c r="T54" i="55"/>
  <c r="T52" i="55"/>
  <c r="T50" i="55"/>
  <c r="T48" i="55"/>
  <c r="T46" i="55"/>
  <c r="T44" i="55"/>
  <c r="T42" i="55"/>
  <c r="T40" i="55"/>
  <c r="T38" i="55"/>
  <c r="T36" i="55"/>
  <c r="T34" i="55"/>
  <c r="T32" i="55"/>
  <c r="T30" i="55"/>
  <c r="T28" i="55"/>
  <c r="W68" i="55"/>
  <c r="W66" i="55"/>
  <c r="W64" i="55"/>
  <c r="W62" i="55"/>
  <c r="W60" i="55"/>
  <c r="W58" i="55"/>
  <c r="W56" i="55"/>
  <c r="W54" i="55"/>
  <c r="W52" i="55"/>
  <c r="W50" i="55"/>
  <c r="W48" i="55"/>
  <c r="W46" i="55"/>
  <c r="W44" i="55"/>
  <c r="W42" i="55"/>
  <c r="W40" i="55"/>
  <c r="W38" i="55"/>
  <c r="W36" i="55"/>
  <c r="W34" i="55"/>
  <c r="V67" i="55"/>
  <c r="V65" i="55"/>
  <c r="V63" i="55"/>
  <c r="V61" i="55"/>
  <c r="V59" i="55"/>
  <c r="V57" i="55"/>
  <c r="V55" i="55"/>
  <c r="V53" i="55"/>
  <c r="V51" i="55"/>
  <c r="V49" i="55"/>
  <c r="V47" i="55"/>
  <c r="V45" i="55"/>
  <c r="V43" i="55"/>
  <c r="V41" i="55"/>
  <c r="V39" i="55"/>
  <c r="V37" i="55"/>
  <c r="V35" i="55"/>
  <c r="V33" i="55"/>
  <c r="V31" i="55"/>
  <c r="U65" i="55"/>
  <c r="U61" i="55"/>
  <c r="U57" i="55"/>
  <c r="U53" i="55"/>
  <c r="U49" i="55"/>
  <c r="U45" i="55"/>
  <c r="U41" i="55"/>
  <c r="U37" i="55"/>
  <c r="U30" i="55"/>
  <c r="U9" i="55"/>
  <c r="U14" i="55"/>
  <c r="U18" i="55"/>
  <c r="U22" i="55"/>
  <c r="U26" i="55"/>
  <c r="R29" i="55"/>
  <c r="W32" i="55"/>
  <c r="R12" i="55"/>
  <c r="R14" i="55"/>
  <c r="R16" i="55"/>
  <c r="R18" i="55"/>
  <c r="R20" i="55"/>
  <c r="R22" i="55"/>
  <c r="R24" i="55"/>
  <c r="R26" i="55"/>
  <c r="W5" i="55"/>
  <c r="W7" i="55"/>
  <c r="W9" i="55"/>
  <c r="W13" i="55"/>
  <c r="W17" i="55"/>
  <c r="W21" i="55"/>
  <c r="W25" i="55"/>
  <c r="S33" i="55"/>
  <c r="U34" i="55"/>
  <c r="U5" i="55"/>
  <c r="U10" i="55"/>
  <c r="U15" i="55"/>
  <c r="U19" i="55"/>
  <c r="U23" i="55"/>
  <c r="R27" i="55"/>
  <c r="W29" i="55"/>
  <c r="V10" i="55"/>
  <c r="V12" i="55"/>
  <c r="V14" i="55"/>
  <c r="V16" i="55"/>
  <c r="V18" i="55"/>
  <c r="V20" i="55"/>
  <c r="V22" i="55"/>
  <c r="V24" i="55"/>
  <c r="V26" i="55"/>
  <c r="W30" i="55"/>
  <c r="S6" i="55"/>
  <c r="S8" i="55"/>
  <c r="S10" i="55"/>
  <c r="S12" i="55"/>
  <c r="S14" i="55"/>
  <c r="S16" i="55"/>
  <c r="S18" i="55"/>
  <c r="S20" i="55"/>
  <c r="S22" i="55"/>
  <c r="S24" i="55"/>
  <c r="S26" i="55"/>
  <c r="W28" i="55"/>
  <c r="U33" i="55"/>
  <c r="U6" i="55"/>
  <c r="U12" i="55"/>
  <c r="U16" i="55"/>
  <c r="U20" i="55"/>
  <c r="U24" i="55"/>
  <c r="W27" i="55"/>
  <c r="V30" i="55"/>
  <c r="R11" i="55"/>
  <c r="R13" i="55"/>
  <c r="R15" i="55"/>
  <c r="R17" i="55"/>
  <c r="R19" i="55"/>
  <c r="R21" i="55"/>
  <c r="R23" i="55"/>
  <c r="R25" i="55"/>
  <c r="S27" i="55"/>
  <c r="W31" i="55"/>
  <c r="W6" i="55"/>
  <c r="W8" i="55"/>
  <c r="W10" i="55"/>
  <c r="W12" i="55"/>
  <c r="W14" i="55"/>
  <c r="W16" i="55"/>
  <c r="W18" i="55"/>
  <c r="W20" i="55"/>
  <c r="W22" i="55"/>
  <c r="W24" i="55"/>
  <c r="W26" i="55"/>
  <c r="U29" i="55"/>
  <c r="U32" i="55"/>
  <c r="U8" i="55"/>
  <c r="U13" i="55"/>
  <c r="U17" i="55"/>
  <c r="U21" i="55"/>
  <c r="U25" i="55"/>
  <c r="U28" i="55"/>
  <c r="S31" i="55"/>
  <c r="V11" i="55"/>
  <c r="V13" i="55"/>
  <c r="V15" i="55"/>
  <c r="V17" i="55"/>
  <c r="V19" i="55"/>
  <c r="V21" i="55"/>
  <c r="V23" i="55"/>
  <c r="V25" i="55"/>
  <c r="V28" i="55"/>
  <c r="S5" i="55"/>
  <c r="S7" i="55"/>
  <c r="S9" i="55"/>
  <c r="S11" i="55"/>
  <c r="S13" i="55"/>
  <c r="S15" i="55"/>
  <c r="S17" i="55"/>
  <c r="S19" i="55"/>
  <c r="S21" i="55"/>
  <c r="S23" i="55"/>
  <c r="S25" i="55"/>
  <c r="U27" i="55"/>
  <c r="R30" i="55"/>
  <c r="S29" i="55"/>
  <c r="W11" i="55"/>
  <c r="W15" i="55"/>
  <c r="W19" i="55"/>
  <c r="W23" i="55"/>
  <c r="R28" i="55"/>
  <c r="M4" i="55"/>
  <c r="W4" i="55"/>
  <c r="X5" i="55"/>
  <c r="D9" i="55"/>
  <c r="D8" i="55"/>
  <c r="D54" i="55"/>
  <c r="D53" i="55"/>
  <c r="D44" i="55"/>
  <c r="D61" i="55"/>
  <c r="D66" i="55"/>
  <c r="D12" i="55"/>
  <c r="D55" i="55"/>
  <c r="D18" i="55"/>
  <c r="D15" i="55"/>
  <c r="D17" i="55"/>
  <c r="D13" i="55"/>
  <c r="D42" i="55"/>
  <c r="C5" i="55"/>
  <c r="I4" i="55"/>
  <c r="K4" i="55"/>
  <c r="D14" i="55"/>
  <c r="D46" i="55"/>
  <c r="D28" i="55"/>
  <c r="D27" i="55"/>
  <c r="D26" i="55"/>
  <c r="D25" i="55"/>
  <c r="D24" i="55"/>
  <c r="D4" i="55"/>
  <c r="D19" i="55"/>
  <c r="X7" i="55"/>
  <c r="X4" i="55"/>
  <c r="L4" i="55"/>
  <c r="Q68" i="51"/>
  <c r="Q67" i="51"/>
  <c r="Q66" i="51"/>
  <c r="Q65" i="51"/>
  <c r="Q64" i="51"/>
  <c r="Q63" i="51"/>
  <c r="Q62" i="51"/>
  <c r="Q61" i="51"/>
  <c r="Q60" i="51"/>
  <c r="Q59" i="51"/>
  <c r="Q58" i="51"/>
  <c r="Q57" i="51"/>
  <c r="Q56" i="51"/>
  <c r="Q55" i="51"/>
  <c r="Q54" i="51"/>
  <c r="Q53" i="51"/>
  <c r="Q52" i="51"/>
  <c r="Q51" i="51"/>
  <c r="Q50" i="51"/>
  <c r="Q49" i="51"/>
  <c r="Q48" i="51"/>
  <c r="Q47" i="51"/>
  <c r="Q46" i="51"/>
  <c r="Q45" i="51"/>
  <c r="Q44" i="51"/>
  <c r="Q43" i="51"/>
  <c r="Q42" i="51"/>
  <c r="Q41" i="51"/>
  <c r="Q40" i="51"/>
  <c r="Q39" i="51"/>
  <c r="Q38" i="51"/>
  <c r="Q37" i="51"/>
  <c r="Q36" i="51"/>
  <c r="Q35" i="51"/>
  <c r="Q34" i="51"/>
  <c r="Q33" i="51"/>
  <c r="Q32" i="51"/>
  <c r="Q31" i="51"/>
  <c r="Q30" i="51"/>
  <c r="Q29" i="51"/>
  <c r="Q28" i="51"/>
  <c r="Q27" i="51"/>
  <c r="Q26" i="51"/>
  <c r="Q25" i="51"/>
  <c r="Q24" i="51"/>
  <c r="Q23" i="51"/>
  <c r="Q22" i="51"/>
  <c r="Q21" i="51"/>
  <c r="Q20" i="51"/>
  <c r="Q19" i="51"/>
  <c r="Q18" i="51"/>
  <c r="Q17" i="51"/>
  <c r="Q16" i="51"/>
  <c r="Q14" i="51"/>
  <c r="Q13" i="51"/>
  <c r="Q12" i="51"/>
  <c r="Q11" i="51"/>
  <c r="Q10" i="51"/>
  <c r="Q9" i="51"/>
  <c r="Q8" i="51"/>
  <c r="Q5" i="51"/>
  <c r="M68" i="51"/>
  <c r="E68" i="51"/>
  <c r="D68" i="51"/>
  <c r="C68" i="51"/>
  <c r="B68" i="51"/>
  <c r="A68" i="51"/>
  <c r="M67" i="51"/>
  <c r="E67" i="51"/>
  <c r="D67" i="51"/>
  <c r="C67" i="51"/>
  <c r="B67" i="51"/>
  <c r="A67" i="51"/>
  <c r="M66" i="51"/>
  <c r="E66" i="51"/>
  <c r="C66" i="51"/>
  <c r="B66" i="51"/>
  <c r="A66" i="51"/>
  <c r="M65" i="51"/>
  <c r="E65" i="51"/>
  <c r="D65" i="51"/>
  <c r="C65" i="51"/>
  <c r="B65" i="51"/>
  <c r="A65" i="51"/>
  <c r="M64" i="51"/>
  <c r="E64" i="51"/>
  <c r="D64" i="51"/>
  <c r="C64" i="51"/>
  <c r="B64" i="51"/>
  <c r="A64" i="51"/>
  <c r="M63" i="51"/>
  <c r="E63" i="51"/>
  <c r="D63" i="51"/>
  <c r="A63" i="51"/>
  <c r="M62" i="51"/>
  <c r="E62" i="51"/>
  <c r="D62" i="51"/>
  <c r="C62" i="51"/>
  <c r="M61" i="51"/>
  <c r="E61" i="51"/>
  <c r="C61" i="51"/>
  <c r="B61" i="51"/>
  <c r="A61" i="51"/>
  <c r="M60" i="51"/>
  <c r="E60" i="51"/>
  <c r="D60" i="51"/>
  <c r="C60" i="51"/>
  <c r="B60" i="51"/>
  <c r="A60" i="51"/>
  <c r="M59" i="51"/>
  <c r="E59" i="51"/>
  <c r="D59" i="51"/>
  <c r="C59" i="51"/>
  <c r="B59" i="51"/>
  <c r="A59" i="51"/>
  <c r="M58" i="51"/>
  <c r="E58" i="51"/>
  <c r="D58" i="51"/>
  <c r="C58" i="51"/>
  <c r="B58" i="51"/>
  <c r="A58" i="51"/>
  <c r="M57" i="51"/>
  <c r="E57" i="51"/>
  <c r="D57" i="51"/>
  <c r="A57" i="51"/>
  <c r="M56" i="51"/>
  <c r="E56" i="51"/>
  <c r="D56" i="51"/>
  <c r="C56" i="51"/>
  <c r="M55" i="51"/>
  <c r="E55" i="51"/>
  <c r="C55" i="51"/>
  <c r="B55" i="51"/>
  <c r="A55" i="51"/>
  <c r="M54" i="51"/>
  <c r="E54" i="51"/>
  <c r="C54" i="51"/>
  <c r="B54" i="51"/>
  <c r="A54" i="51"/>
  <c r="M53" i="51"/>
  <c r="E53" i="51"/>
  <c r="C53" i="51"/>
  <c r="B53" i="51"/>
  <c r="A53" i="51"/>
  <c r="M52" i="51"/>
  <c r="E52" i="51"/>
  <c r="D52" i="51"/>
  <c r="B52" i="51"/>
  <c r="A52" i="51"/>
  <c r="M51" i="51"/>
  <c r="E51" i="51"/>
  <c r="D51" i="51"/>
  <c r="M50" i="51"/>
  <c r="E50" i="51"/>
  <c r="D50" i="51"/>
  <c r="M49" i="51"/>
  <c r="E49" i="51"/>
  <c r="D49" i="51"/>
  <c r="C49" i="51"/>
  <c r="B49" i="51"/>
  <c r="A49" i="51"/>
  <c r="M48" i="51"/>
  <c r="E48" i="51"/>
  <c r="D48" i="51"/>
  <c r="C48" i="51"/>
  <c r="B48" i="51"/>
  <c r="A48" i="51"/>
  <c r="M47" i="51"/>
  <c r="E47" i="51"/>
  <c r="D47" i="51"/>
  <c r="C47" i="51"/>
  <c r="B47" i="51"/>
  <c r="A47" i="51"/>
  <c r="M46" i="51"/>
  <c r="E46" i="51"/>
  <c r="C46" i="51"/>
  <c r="B46" i="51"/>
  <c r="A46" i="51"/>
  <c r="M45" i="51"/>
  <c r="E45" i="51"/>
  <c r="D45" i="51"/>
  <c r="C45" i="51"/>
  <c r="B45" i="51"/>
  <c r="A45" i="51"/>
  <c r="M44" i="51"/>
  <c r="E44" i="51"/>
  <c r="C44" i="51"/>
  <c r="B44" i="51"/>
  <c r="A44" i="51"/>
  <c r="M43" i="51"/>
  <c r="E43" i="51"/>
  <c r="C43" i="51"/>
  <c r="B43" i="51"/>
  <c r="A43" i="51"/>
  <c r="M42" i="51"/>
  <c r="E42" i="51"/>
  <c r="C42" i="51"/>
  <c r="B42" i="51"/>
  <c r="A42" i="51"/>
  <c r="M41" i="51"/>
  <c r="E41" i="51"/>
  <c r="D41" i="51"/>
  <c r="B41" i="51"/>
  <c r="A41" i="51"/>
  <c r="M40" i="51"/>
  <c r="E40" i="51"/>
  <c r="D40" i="51"/>
  <c r="M39" i="51"/>
  <c r="E39" i="51"/>
  <c r="D39" i="51"/>
  <c r="C39" i="51"/>
  <c r="B39" i="51"/>
  <c r="A39" i="51"/>
  <c r="M38" i="51"/>
  <c r="E38" i="51"/>
  <c r="D38" i="51"/>
  <c r="C38" i="51"/>
  <c r="B38" i="51"/>
  <c r="A38" i="51"/>
  <c r="M37" i="51"/>
  <c r="E37" i="51"/>
  <c r="D37" i="51"/>
  <c r="C37" i="51"/>
  <c r="B37" i="51"/>
  <c r="A37" i="51"/>
  <c r="M36" i="51"/>
  <c r="E36" i="51"/>
  <c r="D36" i="51"/>
  <c r="C36" i="51"/>
  <c r="B36" i="51"/>
  <c r="A36" i="51"/>
  <c r="M35" i="51"/>
  <c r="E35" i="51"/>
  <c r="D35" i="51"/>
  <c r="C35" i="51"/>
  <c r="B35" i="51"/>
  <c r="A35" i="51"/>
  <c r="M34" i="51"/>
  <c r="E34" i="51"/>
  <c r="D34" i="51"/>
  <c r="C34" i="51"/>
  <c r="B34" i="51"/>
  <c r="A34" i="51"/>
  <c r="M33" i="51"/>
  <c r="E33" i="51"/>
  <c r="D33" i="51"/>
  <c r="C33" i="51"/>
  <c r="B33" i="51"/>
  <c r="A33" i="51"/>
  <c r="M32" i="51"/>
  <c r="E32" i="51"/>
  <c r="D32" i="51"/>
  <c r="M31" i="51"/>
  <c r="E31" i="51"/>
  <c r="D31" i="51"/>
  <c r="C31" i="51"/>
  <c r="B31" i="51"/>
  <c r="A31" i="51"/>
  <c r="M30" i="51"/>
  <c r="E30" i="51"/>
  <c r="D30" i="51"/>
  <c r="C30" i="51"/>
  <c r="B30" i="51"/>
  <c r="A30" i="51"/>
  <c r="M29" i="51"/>
  <c r="E29" i="51"/>
  <c r="D29" i="51"/>
  <c r="C29" i="51"/>
  <c r="B29" i="51"/>
  <c r="A29" i="51"/>
  <c r="M28" i="51"/>
  <c r="E28" i="51"/>
  <c r="C28" i="51"/>
  <c r="B28" i="51"/>
  <c r="A28" i="51"/>
  <c r="M27" i="51"/>
  <c r="E27" i="51"/>
  <c r="C27" i="51"/>
  <c r="B27" i="51"/>
  <c r="A27" i="51"/>
  <c r="M26" i="51"/>
  <c r="E26" i="51"/>
  <c r="C26" i="51"/>
  <c r="B26" i="51"/>
  <c r="A26" i="51"/>
  <c r="M25" i="51"/>
  <c r="E25" i="51"/>
  <c r="C25" i="51"/>
  <c r="B25" i="51"/>
  <c r="A25" i="51"/>
  <c r="M24" i="51"/>
  <c r="E24" i="51"/>
  <c r="C24" i="51"/>
  <c r="B24" i="51"/>
  <c r="A24" i="51"/>
  <c r="M23" i="51"/>
  <c r="M22" i="51"/>
  <c r="E22" i="51"/>
  <c r="D22" i="51"/>
  <c r="C22" i="51"/>
  <c r="B22" i="51"/>
  <c r="A22" i="51"/>
  <c r="M21" i="51"/>
  <c r="E21" i="51"/>
  <c r="D21" i="51"/>
  <c r="C21" i="51"/>
  <c r="B21" i="51"/>
  <c r="A21" i="51"/>
  <c r="M20" i="51"/>
  <c r="E20" i="51"/>
  <c r="C20" i="51"/>
  <c r="B20" i="51"/>
  <c r="A20" i="51"/>
  <c r="M19" i="51"/>
  <c r="E19" i="51"/>
  <c r="C19" i="51"/>
  <c r="B19" i="51"/>
  <c r="A19" i="51"/>
  <c r="M18" i="51"/>
  <c r="E18" i="51"/>
  <c r="C18" i="51"/>
  <c r="B18" i="51"/>
  <c r="A18" i="51"/>
  <c r="M17" i="51"/>
  <c r="E17" i="51"/>
  <c r="C17" i="51"/>
  <c r="B17" i="51"/>
  <c r="A17" i="51"/>
  <c r="M16" i="51"/>
  <c r="D16" i="51"/>
  <c r="B15" i="51"/>
  <c r="A15" i="51"/>
  <c r="M14" i="51"/>
  <c r="E14" i="51"/>
  <c r="C14" i="51"/>
  <c r="B14" i="51"/>
  <c r="A14" i="51"/>
  <c r="M13" i="51"/>
  <c r="E13" i="51"/>
  <c r="C13" i="51"/>
  <c r="B13" i="51"/>
  <c r="A13" i="51"/>
  <c r="M12" i="51"/>
  <c r="E12" i="51"/>
  <c r="C12" i="51"/>
  <c r="B12" i="51"/>
  <c r="A12" i="51"/>
  <c r="M11" i="51"/>
  <c r="D11" i="51"/>
  <c r="B11" i="51"/>
  <c r="A11" i="51"/>
  <c r="M10" i="51"/>
  <c r="D10" i="51"/>
  <c r="M9" i="51"/>
  <c r="E9" i="51"/>
  <c r="C9" i="51"/>
  <c r="B9" i="51"/>
  <c r="A9" i="51"/>
  <c r="M8" i="51"/>
  <c r="E8" i="51"/>
  <c r="C8" i="51"/>
  <c r="B8" i="51"/>
  <c r="A8" i="51"/>
  <c r="B7" i="51"/>
  <c r="A7" i="51"/>
  <c r="B6" i="51"/>
  <c r="A6" i="51"/>
  <c r="M5" i="51"/>
  <c r="B5" i="51"/>
  <c r="A5" i="51"/>
  <c r="B2" i="51"/>
  <c r="M15" i="51"/>
  <c r="Q15" i="51"/>
  <c r="D43" i="51"/>
  <c r="C4" i="51"/>
  <c r="Q6" i="51"/>
  <c r="M7" i="51"/>
  <c r="Q7" i="51"/>
  <c r="S7" i="51"/>
  <c r="S34" i="51"/>
  <c r="S9" i="51"/>
  <c r="S11" i="51"/>
  <c r="S17" i="51"/>
  <c r="S19" i="51"/>
  <c r="S23" i="51"/>
  <c r="T25" i="51"/>
  <c r="W29" i="51"/>
  <c r="T7" i="51"/>
  <c r="T9" i="51"/>
  <c r="T11" i="51"/>
  <c r="T15" i="51"/>
  <c r="T17" i="51"/>
  <c r="T19" i="51"/>
  <c r="T23" i="51"/>
  <c r="R26" i="51"/>
  <c r="R29" i="51"/>
  <c r="T67" i="51"/>
  <c r="T65" i="51"/>
  <c r="T63" i="51"/>
  <c r="W5" i="51"/>
  <c r="W7" i="51"/>
  <c r="W9" i="51"/>
  <c r="W13" i="51"/>
  <c r="W15" i="51"/>
  <c r="W17" i="51"/>
  <c r="W21" i="51"/>
  <c r="W23" i="51"/>
  <c r="V26" i="51"/>
  <c r="X9" i="51"/>
  <c r="X13" i="51"/>
  <c r="X15" i="51"/>
  <c r="X17" i="51"/>
  <c r="X21" i="51"/>
  <c r="X23" i="51"/>
  <c r="W26" i="51"/>
  <c r="X68" i="51"/>
  <c r="X66" i="51"/>
  <c r="X64" i="51"/>
  <c r="X60" i="51"/>
  <c r="X58" i="51"/>
  <c r="X56" i="51"/>
  <c r="X52" i="51"/>
  <c r="X50" i="51"/>
  <c r="X48" i="51"/>
  <c r="X44" i="51"/>
  <c r="X42" i="51"/>
  <c r="X40" i="51"/>
  <c r="X36" i="51"/>
  <c r="X34" i="51"/>
  <c r="X32" i="51"/>
  <c r="X28" i="51"/>
  <c r="X26" i="51"/>
  <c r="S67" i="51"/>
  <c r="S63" i="51"/>
  <c r="S61" i="51"/>
  <c r="S59" i="51"/>
  <c r="S55" i="51"/>
  <c r="S53" i="51"/>
  <c r="S51" i="51"/>
  <c r="S47" i="51"/>
  <c r="S45" i="51"/>
  <c r="S43" i="51"/>
  <c r="S39" i="51"/>
  <c r="S37" i="51"/>
  <c r="S35" i="51"/>
  <c r="S8" i="51"/>
  <c r="S10" i="51"/>
  <c r="S12" i="51"/>
  <c r="S16" i="51"/>
  <c r="S18" i="51"/>
  <c r="S20" i="51"/>
  <c r="S24" i="51"/>
  <c r="S27" i="51"/>
  <c r="S31" i="51"/>
  <c r="T8" i="51"/>
  <c r="T10" i="51"/>
  <c r="T12" i="51"/>
  <c r="T16" i="51"/>
  <c r="T18" i="51"/>
  <c r="T20" i="51"/>
  <c r="T22" i="51"/>
  <c r="T24" i="51"/>
  <c r="V27" i="51"/>
  <c r="V31" i="51"/>
  <c r="T68" i="51"/>
  <c r="T66" i="51"/>
  <c r="T64" i="51"/>
  <c r="T62" i="51"/>
  <c r="T60" i="51"/>
  <c r="T58" i="51"/>
  <c r="T56" i="51"/>
  <c r="T54" i="51"/>
  <c r="T52" i="51"/>
  <c r="T50" i="51"/>
  <c r="T48" i="51"/>
  <c r="T46" i="51"/>
  <c r="T44" i="51"/>
  <c r="T42" i="51"/>
  <c r="T40" i="51"/>
  <c r="T38" i="51"/>
  <c r="T36" i="51"/>
  <c r="T34" i="51"/>
  <c r="T32" i="51"/>
  <c r="T30" i="51"/>
  <c r="T28" i="51"/>
  <c r="W68" i="51"/>
  <c r="W66" i="51"/>
  <c r="W64" i="51"/>
  <c r="W62" i="51"/>
  <c r="W60" i="51"/>
  <c r="W58" i="51"/>
  <c r="W56" i="51"/>
  <c r="W54" i="51"/>
  <c r="W52" i="51"/>
  <c r="W50" i="51"/>
  <c r="W48" i="51"/>
  <c r="W46" i="51"/>
  <c r="W44" i="51"/>
  <c r="W42" i="51"/>
  <c r="W40" i="51"/>
  <c r="W38" i="51"/>
  <c r="W36" i="51"/>
  <c r="W34" i="51"/>
  <c r="R67" i="51"/>
  <c r="R65" i="51"/>
  <c r="R63" i="51"/>
  <c r="R61" i="51"/>
  <c r="R59" i="51"/>
  <c r="R57" i="51"/>
  <c r="R55" i="51"/>
  <c r="R53" i="51"/>
  <c r="R51" i="51"/>
  <c r="W6" i="51"/>
  <c r="W8" i="51"/>
  <c r="W10" i="51"/>
  <c r="W12" i="51"/>
  <c r="W14" i="51"/>
  <c r="W16" i="51"/>
  <c r="W18" i="51"/>
  <c r="W20" i="51"/>
  <c r="W22" i="51"/>
  <c r="X24" i="51"/>
  <c r="R28" i="51"/>
  <c r="R32" i="51"/>
  <c r="X8" i="51"/>
  <c r="X10" i="51"/>
  <c r="X12" i="51"/>
  <c r="X14" i="51"/>
  <c r="X16" i="51"/>
  <c r="X18" i="51"/>
  <c r="X20" i="51"/>
  <c r="X22" i="51"/>
  <c r="V25" i="51"/>
  <c r="S28" i="51"/>
  <c r="S32" i="51"/>
  <c r="X67" i="51"/>
  <c r="X65" i="51"/>
  <c r="X63" i="51"/>
  <c r="X61" i="51"/>
  <c r="X59" i="51"/>
  <c r="X57" i="51"/>
  <c r="X55" i="51"/>
  <c r="X53" i="51"/>
  <c r="X51" i="51"/>
  <c r="X49" i="51"/>
  <c r="X47" i="51"/>
  <c r="X45" i="51"/>
  <c r="X43" i="51"/>
  <c r="X41" i="51"/>
  <c r="X39" i="51"/>
  <c r="X37" i="51"/>
  <c r="X35" i="51"/>
  <c r="X33" i="51"/>
  <c r="X31" i="51"/>
  <c r="X29" i="51"/>
  <c r="X27" i="51"/>
  <c r="S68" i="51"/>
  <c r="S66" i="51"/>
  <c r="S64" i="51"/>
  <c r="S62" i="51"/>
  <c r="S60" i="51"/>
  <c r="S58" i="51"/>
  <c r="S56" i="51"/>
  <c r="S54" i="51"/>
  <c r="S52" i="51"/>
  <c r="S50" i="51"/>
  <c r="S48" i="51"/>
  <c r="S46" i="51"/>
  <c r="S44" i="51"/>
  <c r="S42" i="51"/>
  <c r="S40" i="51"/>
  <c r="S38" i="51"/>
  <c r="S36" i="51"/>
  <c r="V68" i="51"/>
  <c r="V66" i="51"/>
  <c r="V64" i="51"/>
  <c r="V62" i="51"/>
  <c r="V60" i="51"/>
  <c r="V58" i="51"/>
  <c r="V56" i="51"/>
  <c r="V54" i="51"/>
  <c r="V52" i="51"/>
  <c r="V50" i="51"/>
  <c r="V48" i="51"/>
  <c r="V46" i="51"/>
  <c r="V44" i="51"/>
  <c r="V42" i="51"/>
  <c r="V40" i="51"/>
  <c r="V38" i="51"/>
  <c r="V36" i="51"/>
  <c r="V34" i="51"/>
  <c r="U67" i="51"/>
  <c r="U63" i="51"/>
  <c r="U59" i="51"/>
  <c r="U55" i="51"/>
  <c r="U51" i="51"/>
  <c r="T57" i="51"/>
  <c r="T49" i="51"/>
  <c r="T41" i="51"/>
  <c r="T33" i="51"/>
  <c r="W67" i="51"/>
  <c r="W59" i="51"/>
  <c r="W51" i="51"/>
  <c r="W43" i="51"/>
  <c r="W35" i="51"/>
  <c r="V65" i="51"/>
  <c r="V61" i="51"/>
  <c r="V57" i="51"/>
  <c r="V53" i="51"/>
  <c r="V49" i="51"/>
  <c r="R47" i="51"/>
  <c r="R44" i="51"/>
  <c r="V41" i="51"/>
  <c r="R39" i="51"/>
  <c r="R36" i="51"/>
  <c r="V33" i="51"/>
  <c r="U64" i="51"/>
  <c r="U58" i="51"/>
  <c r="U53" i="51"/>
  <c r="U48" i="51"/>
  <c r="U44" i="51"/>
  <c r="U40" i="51"/>
  <c r="U36" i="51"/>
  <c r="U32" i="51"/>
  <c r="U28" i="51"/>
  <c r="U24" i="51"/>
  <c r="U8" i="51"/>
  <c r="U12" i="51"/>
  <c r="U16" i="51"/>
  <c r="U20" i="51"/>
  <c r="V24" i="51"/>
  <c r="W27" i="51"/>
  <c r="W31" i="51"/>
  <c r="V5" i="51"/>
  <c r="V7" i="51"/>
  <c r="V9" i="51"/>
  <c r="V11" i="51"/>
  <c r="V13" i="51"/>
  <c r="V15" i="51"/>
  <c r="V17" i="51"/>
  <c r="V19" i="51"/>
  <c r="V23" i="51"/>
  <c r="X25" i="51"/>
  <c r="T55" i="51"/>
  <c r="T47" i="51"/>
  <c r="T39" i="51"/>
  <c r="T31" i="51"/>
  <c r="W65" i="51"/>
  <c r="W57" i="51"/>
  <c r="W49" i="51"/>
  <c r="W41" i="51"/>
  <c r="R68" i="51"/>
  <c r="R64" i="51"/>
  <c r="R60" i="51"/>
  <c r="R56" i="51"/>
  <c r="R52" i="51"/>
  <c r="R49" i="51"/>
  <c r="R46" i="51"/>
  <c r="V43" i="51"/>
  <c r="R41" i="51"/>
  <c r="R38" i="51"/>
  <c r="V35" i="51"/>
  <c r="U68" i="51"/>
  <c r="U62" i="51"/>
  <c r="U57" i="51"/>
  <c r="U52" i="51"/>
  <c r="U47" i="51"/>
  <c r="U43" i="51"/>
  <c r="U39" i="51"/>
  <c r="U35" i="51"/>
  <c r="U31" i="51"/>
  <c r="U27" i="51"/>
  <c r="U5" i="51"/>
  <c r="U9" i="51"/>
  <c r="U13" i="51"/>
  <c r="U17" i="51"/>
  <c r="U21" i="51"/>
  <c r="R25" i="51"/>
  <c r="V28" i="51"/>
  <c r="V32" i="51"/>
  <c r="R6" i="51"/>
  <c r="R8" i="51"/>
  <c r="R10" i="51"/>
  <c r="R12" i="51"/>
  <c r="R14" i="51"/>
  <c r="R16" i="51"/>
  <c r="R18" i="51"/>
  <c r="R20" i="51"/>
  <c r="R22" i="51"/>
  <c r="R24" i="51"/>
  <c r="T26" i="51"/>
  <c r="S30" i="51"/>
  <c r="V29" i="51"/>
  <c r="T53" i="51"/>
  <c r="T45" i="51"/>
  <c r="T37" i="51"/>
  <c r="T29" i="51"/>
  <c r="W63" i="51"/>
  <c r="W55" i="51"/>
  <c r="W47" i="51"/>
  <c r="W39" i="51"/>
  <c r="V67" i="51"/>
  <c r="V63" i="51"/>
  <c r="V59" i="51"/>
  <c r="V55" i="51"/>
  <c r="V51" i="51"/>
  <c r="R48" i="51"/>
  <c r="V45" i="51"/>
  <c r="R43" i="51"/>
  <c r="R40" i="51"/>
  <c r="V37" i="51"/>
  <c r="R35" i="51"/>
  <c r="U66" i="51"/>
  <c r="U61" i="51"/>
  <c r="U56" i="51"/>
  <c r="U50" i="51"/>
  <c r="U46" i="51"/>
  <c r="U42" i="51"/>
  <c r="U38" i="51"/>
  <c r="U34" i="51"/>
  <c r="U30" i="51"/>
  <c r="U26" i="51"/>
  <c r="U6" i="51"/>
  <c r="U10" i="51"/>
  <c r="U14" i="51"/>
  <c r="U18" i="51"/>
  <c r="U22" i="51"/>
  <c r="W25" i="51"/>
  <c r="S29" i="51"/>
  <c r="S33" i="51"/>
  <c r="V6" i="51"/>
  <c r="V8" i="51"/>
  <c r="V10" i="51"/>
  <c r="V12" i="51"/>
  <c r="V14" i="51"/>
  <c r="V16" i="51"/>
  <c r="V18" i="51"/>
  <c r="V20" i="51"/>
  <c r="V22" i="51"/>
  <c r="W24" i="51"/>
  <c r="R27" i="51"/>
  <c r="R31" i="51"/>
  <c r="V21" i="51"/>
  <c r="W33" i="51"/>
  <c r="T59" i="51"/>
  <c r="T51" i="51"/>
  <c r="T43" i="51"/>
  <c r="T35" i="51"/>
  <c r="T27" i="51"/>
  <c r="W61" i="51"/>
  <c r="W53" i="51"/>
  <c r="W45" i="51"/>
  <c r="W37" i="51"/>
  <c r="R66" i="51"/>
  <c r="R62" i="51"/>
  <c r="R58" i="51"/>
  <c r="R54" i="51"/>
  <c r="R50" i="51"/>
  <c r="V47" i="51"/>
  <c r="R45" i="51"/>
  <c r="R42" i="51"/>
  <c r="V39" i="51"/>
  <c r="R37" i="51"/>
  <c r="R34" i="51"/>
  <c r="U65" i="51"/>
  <c r="U60" i="51"/>
  <c r="U54" i="51"/>
  <c r="U49" i="51"/>
  <c r="U45" i="51"/>
  <c r="U41" i="51"/>
  <c r="U37" i="51"/>
  <c r="U33" i="51"/>
  <c r="U29" i="51"/>
  <c r="U25" i="51"/>
  <c r="U7" i="51"/>
  <c r="U11" i="51"/>
  <c r="U15" i="51"/>
  <c r="U19" i="51"/>
  <c r="U23" i="51"/>
  <c r="S26" i="51"/>
  <c r="R30" i="51"/>
  <c r="R5" i="51"/>
  <c r="R7" i="51"/>
  <c r="R9" i="51"/>
  <c r="R11" i="51"/>
  <c r="R13" i="51"/>
  <c r="R15" i="51"/>
  <c r="R17" i="51"/>
  <c r="R19" i="51"/>
  <c r="R21" i="51"/>
  <c r="R23" i="51"/>
  <c r="S25" i="51"/>
  <c r="W28" i="51"/>
  <c r="W32" i="51"/>
  <c r="M6" i="51"/>
  <c r="T14" i="51"/>
  <c r="T6" i="51"/>
  <c r="S22" i="51"/>
  <c r="S14" i="51"/>
  <c r="S6" i="51"/>
  <c r="S41" i="51"/>
  <c r="S49" i="51"/>
  <c r="S57" i="51"/>
  <c r="S65" i="51"/>
  <c r="X30" i="51"/>
  <c r="X38" i="51"/>
  <c r="X46" i="51"/>
  <c r="X54" i="51"/>
  <c r="X62" i="51"/>
  <c r="W30" i="51"/>
  <c r="X19" i="51"/>
  <c r="X11" i="51"/>
  <c r="V30" i="51"/>
  <c r="W19" i="51"/>
  <c r="W11" i="51"/>
  <c r="T61" i="51"/>
  <c r="R33" i="51"/>
  <c r="T21" i="51"/>
  <c r="T13" i="51"/>
  <c r="T5" i="51"/>
  <c r="S21" i="51"/>
  <c r="S13" i="51"/>
  <c r="S5" i="51"/>
  <c r="W4" i="51"/>
  <c r="S15" i="51"/>
  <c r="M4" i="51"/>
  <c r="D9" i="51"/>
  <c r="D8" i="51"/>
  <c r="X6" i="51"/>
  <c r="D54" i="51"/>
  <c r="D53" i="51"/>
  <c r="D44" i="51"/>
  <c r="D61" i="51"/>
  <c r="D66" i="51"/>
  <c r="D12" i="51"/>
  <c r="D55" i="51"/>
  <c r="D18" i="51"/>
  <c r="X7" i="51"/>
  <c r="D17" i="51"/>
  <c r="X5" i="51"/>
  <c r="X4" i="51"/>
  <c r="D13" i="51"/>
  <c r="D20" i="51"/>
  <c r="D42" i="51"/>
  <c r="D4" i="51"/>
  <c r="C5" i="51"/>
  <c r="I4" i="51"/>
  <c r="K4" i="51"/>
  <c r="D14" i="51"/>
  <c r="D46" i="51"/>
  <c r="D28" i="51"/>
  <c r="D27" i="51"/>
  <c r="D26" i="51"/>
  <c r="D25" i="51"/>
  <c r="D24" i="51"/>
  <c r="D19" i="51"/>
  <c r="L4" i="51"/>
  <c r="Q68" i="57"/>
  <c r="Q67" i="57"/>
  <c r="Q66" i="57"/>
  <c r="Q65" i="57"/>
  <c r="Q64" i="57"/>
  <c r="Q63" i="57"/>
  <c r="Q62" i="57"/>
  <c r="Q61" i="57"/>
  <c r="Q60" i="57"/>
  <c r="Q59" i="57"/>
  <c r="Q58" i="57"/>
  <c r="Q57" i="57"/>
  <c r="Q56" i="57"/>
  <c r="Q55" i="57"/>
  <c r="Q54" i="57"/>
  <c r="Q53" i="57"/>
  <c r="Q52" i="57"/>
  <c r="Q51" i="57"/>
  <c r="Q50" i="57"/>
  <c r="Q49" i="57"/>
  <c r="Q48" i="57"/>
  <c r="Q47" i="57"/>
  <c r="Q46" i="57"/>
  <c r="Q45" i="57"/>
  <c r="Q44" i="57"/>
  <c r="Q43" i="57"/>
  <c r="Q42" i="57"/>
  <c r="Q41" i="57"/>
  <c r="Q40" i="57"/>
  <c r="Q39" i="57"/>
  <c r="Q38" i="57"/>
  <c r="Q37" i="57"/>
  <c r="Q36" i="57"/>
  <c r="Q35" i="57"/>
  <c r="Q34" i="57"/>
  <c r="Q33" i="57"/>
  <c r="Q32" i="57"/>
  <c r="Q31" i="57"/>
  <c r="Q30" i="57"/>
  <c r="Q29" i="57"/>
  <c r="Q28" i="57"/>
  <c r="Q27" i="57"/>
  <c r="Q26" i="57"/>
  <c r="Q25" i="57"/>
  <c r="Q24" i="57"/>
  <c r="Q23" i="57"/>
  <c r="Q22" i="57"/>
  <c r="Q21" i="57"/>
  <c r="Q19" i="57"/>
  <c r="Q18" i="57"/>
  <c r="Q17" i="57"/>
  <c r="Q16" i="57"/>
  <c r="Q15" i="57"/>
  <c r="Q14" i="57"/>
  <c r="Q13" i="57"/>
  <c r="Q12" i="57"/>
  <c r="Q11" i="57"/>
  <c r="Q10" i="57"/>
  <c r="Q9" i="57"/>
  <c r="Q8" i="57"/>
  <c r="Q7" i="57"/>
  <c r="Q6" i="57"/>
  <c r="Q5" i="57"/>
  <c r="M68" i="57"/>
  <c r="E68" i="57"/>
  <c r="D68" i="57"/>
  <c r="C68" i="57"/>
  <c r="B68" i="57"/>
  <c r="A68" i="57"/>
  <c r="M67" i="57"/>
  <c r="E67" i="57"/>
  <c r="D67" i="57"/>
  <c r="C67" i="57"/>
  <c r="B67" i="57"/>
  <c r="A67" i="57"/>
  <c r="M66" i="57"/>
  <c r="E66" i="57"/>
  <c r="C66" i="57"/>
  <c r="B66" i="57"/>
  <c r="A66" i="57"/>
  <c r="M65" i="57"/>
  <c r="E65" i="57"/>
  <c r="D65" i="57"/>
  <c r="C65" i="57"/>
  <c r="B65" i="57"/>
  <c r="A65" i="57"/>
  <c r="M64" i="57"/>
  <c r="E64" i="57"/>
  <c r="D64" i="57"/>
  <c r="C64" i="57"/>
  <c r="B64" i="57"/>
  <c r="A64" i="57"/>
  <c r="M63" i="57"/>
  <c r="E63" i="57"/>
  <c r="D63" i="57"/>
  <c r="A63" i="57"/>
  <c r="M62" i="57"/>
  <c r="E62" i="57"/>
  <c r="D62" i="57"/>
  <c r="C62" i="57"/>
  <c r="M61" i="57"/>
  <c r="E61" i="57"/>
  <c r="C61" i="57"/>
  <c r="B61" i="57"/>
  <c r="A61" i="57"/>
  <c r="M60" i="57"/>
  <c r="E60" i="57"/>
  <c r="D60" i="57"/>
  <c r="C60" i="57"/>
  <c r="B60" i="57"/>
  <c r="A60" i="57"/>
  <c r="M59" i="57"/>
  <c r="E59" i="57"/>
  <c r="D59" i="57"/>
  <c r="C59" i="57"/>
  <c r="B59" i="57"/>
  <c r="A59" i="57"/>
  <c r="M58" i="57"/>
  <c r="E58" i="57"/>
  <c r="D58" i="57"/>
  <c r="C58" i="57"/>
  <c r="B58" i="57"/>
  <c r="A58" i="57"/>
  <c r="M57" i="57"/>
  <c r="E57" i="57"/>
  <c r="D57" i="57"/>
  <c r="A57" i="57"/>
  <c r="M56" i="57"/>
  <c r="E56" i="57"/>
  <c r="D56" i="57"/>
  <c r="C56" i="57"/>
  <c r="M55" i="57"/>
  <c r="E55" i="57"/>
  <c r="C55" i="57"/>
  <c r="B55" i="57"/>
  <c r="A55" i="57"/>
  <c r="M54" i="57"/>
  <c r="E54" i="57"/>
  <c r="C54" i="57"/>
  <c r="B54" i="57"/>
  <c r="A54" i="57"/>
  <c r="M53" i="57"/>
  <c r="E53" i="57"/>
  <c r="C53" i="57"/>
  <c r="B53" i="57"/>
  <c r="A53" i="57"/>
  <c r="M52" i="57"/>
  <c r="E52" i="57"/>
  <c r="D52" i="57"/>
  <c r="B52" i="57"/>
  <c r="A52" i="57"/>
  <c r="M51" i="57"/>
  <c r="E51" i="57"/>
  <c r="D51" i="57"/>
  <c r="M50" i="57"/>
  <c r="E50" i="57"/>
  <c r="D50" i="57"/>
  <c r="M49" i="57"/>
  <c r="E49" i="57"/>
  <c r="D49" i="57"/>
  <c r="C49" i="57"/>
  <c r="B49" i="57"/>
  <c r="A49" i="57"/>
  <c r="M48" i="57"/>
  <c r="E48" i="57"/>
  <c r="D48" i="57"/>
  <c r="C48" i="57"/>
  <c r="B48" i="57"/>
  <c r="A48" i="57"/>
  <c r="M47" i="57"/>
  <c r="E47" i="57"/>
  <c r="D47" i="57"/>
  <c r="C47" i="57"/>
  <c r="B47" i="57"/>
  <c r="A47" i="57"/>
  <c r="M46" i="57"/>
  <c r="E46" i="57"/>
  <c r="C46" i="57"/>
  <c r="B46" i="57"/>
  <c r="A46" i="57"/>
  <c r="M45" i="57"/>
  <c r="E45" i="57"/>
  <c r="D45" i="57"/>
  <c r="C45" i="57"/>
  <c r="B45" i="57"/>
  <c r="A45" i="57"/>
  <c r="M44" i="57"/>
  <c r="E44" i="57"/>
  <c r="C44" i="57"/>
  <c r="B44" i="57"/>
  <c r="A44" i="57"/>
  <c r="M43" i="57"/>
  <c r="E43" i="57"/>
  <c r="C43" i="57"/>
  <c r="B43" i="57"/>
  <c r="A43" i="57"/>
  <c r="M42" i="57"/>
  <c r="E42" i="57"/>
  <c r="C42" i="57"/>
  <c r="B42" i="57"/>
  <c r="A42" i="57"/>
  <c r="M41" i="57"/>
  <c r="E41" i="57"/>
  <c r="D41" i="57"/>
  <c r="B41" i="57"/>
  <c r="A41" i="57"/>
  <c r="M40" i="57"/>
  <c r="E40" i="57"/>
  <c r="D40" i="57"/>
  <c r="M39" i="57"/>
  <c r="E39" i="57"/>
  <c r="D39" i="57"/>
  <c r="C39" i="57"/>
  <c r="B39" i="57"/>
  <c r="A39" i="57"/>
  <c r="M38" i="57"/>
  <c r="E38" i="57"/>
  <c r="D38" i="57"/>
  <c r="C38" i="57"/>
  <c r="B38" i="57"/>
  <c r="A38" i="57"/>
  <c r="M37" i="57"/>
  <c r="E37" i="57"/>
  <c r="D37" i="57"/>
  <c r="C37" i="57"/>
  <c r="B37" i="57"/>
  <c r="A37" i="57"/>
  <c r="M36" i="57"/>
  <c r="E36" i="57"/>
  <c r="D36" i="57"/>
  <c r="C36" i="57"/>
  <c r="B36" i="57"/>
  <c r="A36" i="57"/>
  <c r="M35" i="57"/>
  <c r="E35" i="57"/>
  <c r="D35" i="57"/>
  <c r="C35" i="57"/>
  <c r="B35" i="57"/>
  <c r="A35" i="57"/>
  <c r="M34" i="57"/>
  <c r="E34" i="57"/>
  <c r="D34" i="57"/>
  <c r="C34" i="57"/>
  <c r="B34" i="57"/>
  <c r="A34" i="57"/>
  <c r="M33" i="57"/>
  <c r="E33" i="57"/>
  <c r="D33" i="57"/>
  <c r="C33" i="57"/>
  <c r="B33" i="57"/>
  <c r="A33" i="57"/>
  <c r="M32" i="57"/>
  <c r="E32" i="57"/>
  <c r="D32" i="57"/>
  <c r="M31" i="57"/>
  <c r="E31" i="57"/>
  <c r="D31" i="57"/>
  <c r="C31" i="57"/>
  <c r="B31" i="57"/>
  <c r="A31" i="57"/>
  <c r="M30" i="57"/>
  <c r="E30" i="57"/>
  <c r="D30" i="57"/>
  <c r="C30" i="57"/>
  <c r="B30" i="57"/>
  <c r="A30" i="57"/>
  <c r="M29" i="57"/>
  <c r="E29" i="57"/>
  <c r="D29" i="57"/>
  <c r="C29" i="57"/>
  <c r="B29" i="57"/>
  <c r="A29" i="57"/>
  <c r="M28" i="57"/>
  <c r="E28" i="57"/>
  <c r="C28" i="57"/>
  <c r="B28" i="57"/>
  <c r="A28" i="57"/>
  <c r="M27" i="57"/>
  <c r="E27" i="57"/>
  <c r="C27" i="57"/>
  <c r="B27" i="57"/>
  <c r="A27" i="57"/>
  <c r="M26" i="57"/>
  <c r="E26" i="57"/>
  <c r="C26" i="57"/>
  <c r="B26" i="57"/>
  <c r="A26" i="57"/>
  <c r="M25" i="57"/>
  <c r="E25" i="57"/>
  <c r="C25" i="57"/>
  <c r="B25" i="57"/>
  <c r="A25" i="57"/>
  <c r="M24" i="57"/>
  <c r="E24" i="57"/>
  <c r="C24" i="57"/>
  <c r="B24" i="57"/>
  <c r="A24" i="57"/>
  <c r="M23" i="57"/>
  <c r="M22" i="57"/>
  <c r="E22" i="57"/>
  <c r="D22" i="57"/>
  <c r="C22" i="57"/>
  <c r="B22" i="57"/>
  <c r="A22" i="57"/>
  <c r="M21" i="57"/>
  <c r="E21" i="57"/>
  <c r="D21" i="57"/>
  <c r="C21" i="57"/>
  <c r="B21" i="57"/>
  <c r="A21" i="57"/>
  <c r="C6" i="57"/>
  <c r="C7" i="57"/>
  <c r="C4" i="57"/>
  <c r="B20" i="57"/>
  <c r="A20" i="57"/>
  <c r="M19" i="57"/>
  <c r="E19" i="57"/>
  <c r="C19" i="57"/>
  <c r="B19" i="57"/>
  <c r="A19" i="57"/>
  <c r="M18" i="57"/>
  <c r="E18" i="57"/>
  <c r="C18" i="57"/>
  <c r="B18" i="57"/>
  <c r="A18" i="57"/>
  <c r="M17" i="57"/>
  <c r="E17" i="57"/>
  <c r="C17" i="57"/>
  <c r="B17" i="57"/>
  <c r="A17" i="57"/>
  <c r="M16" i="57"/>
  <c r="D16" i="57"/>
  <c r="M15" i="57"/>
  <c r="E15" i="57"/>
  <c r="C15" i="57"/>
  <c r="B15" i="57"/>
  <c r="A15" i="57"/>
  <c r="M14" i="57"/>
  <c r="E14" i="57"/>
  <c r="C14" i="57"/>
  <c r="B14" i="57"/>
  <c r="A14" i="57"/>
  <c r="M13" i="57"/>
  <c r="E13" i="57"/>
  <c r="C13" i="57"/>
  <c r="B13" i="57"/>
  <c r="A13" i="57"/>
  <c r="M12" i="57"/>
  <c r="E12" i="57"/>
  <c r="C12" i="57"/>
  <c r="B12" i="57"/>
  <c r="A12" i="57"/>
  <c r="M11" i="57"/>
  <c r="D11" i="57"/>
  <c r="B11" i="57"/>
  <c r="A11" i="57"/>
  <c r="M10" i="57"/>
  <c r="D10" i="57"/>
  <c r="M9" i="57"/>
  <c r="E9" i="57"/>
  <c r="C9" i="57"/>
  <c r="B9" i="57"/>
  <c r="A9" i="57"/>
  <c r="M8" i="57"/>
  <c r="E8" i="57"/>
  <c r="C8" i="57"/>
  <c r="B8" i="57"/>
  <c r="A8" i="57"/>
  <c r="E7" i="57"/>
  <c r="B7" i="57"/>
  <c r="A7" i="57"/>
  <c r="E6" i="57"/>
  <c r="B6" i="57"/>
  <c r="A6" i="57"/>
  <c r="M5" i="57"/>
  <c r="B5" i="57"/>
  <c r="A5" i="57"/>
  <c r="B2" i="57"/>
  <c r="D43" i="57"/>
  <c r="Q20" i="57"/>
  <c r="S5" i="57"/>
  <c r="S7" i="57"/>
  <c r="S9" i="57"/>
  <c r="S11" i="57"/>
  <c r="S13" i="57"/>
  <c r="S15" i="57"/>
  <c r="S17" i="57"/>
  <c r="T19" i="57"/>
  <c r="S22" i="57"/>
  <c r="R25" i="57"/>
  <c r="V28" i="57"/>
  <c r="V32" i="57"/>
  <c r="V36" i="57"/>
  <c r="S42" i="57"/>
  <c r="S50" i="57"/>
  <c r="X7" i="57"/>
  <c r="X9" i="57"/>
  <c r="X11" i="57"/>
  <c r="X13" i="57"/>
  <c r="X15" i="57"/>
  <c r="X17" i="57"/>
  <c r="W20" i="57"/>
  <c r="V23" i="57"/>
  <c r="X25" i="57"/>
  <c r="V29" i="57"/>
  <c r="V33" i="57"/>
  <c r="V37" i="57"/>
  <c r="W42" i="57"/>
  <c r="W50" i="57"/>
  <c r="X67" i="57"/>
  <c r="X65" i="57"/>
  <c r="X63" i="57"/>
  <c r="X61" i="57"/>
  <c r="X59" i="57"/>
  <c r="X57" i="57"/>
  <c r="X55" i="57"/>
  <c r="X53" i="57"/>
  <c r="X51" i="57"/>
  <c r="X49" i="57"/>
  <c r="X47" i="57"/>
  <c r="X45" i="57"/>
  <c r="X43" i="57"/>
  <c r="X41" i="57"/>
  <c r="X39" i="57"/>
  <c r="X37" i="57"/>
  <c r="X35" i="57"/>
  <c r="X33" i="57"/>
  <c r="X31" i="57"/>
  <c r="X29" i="57"/>
  <c r="X27" i="57"/>
  <c r="S68" i="57"/>
  <c r="S66" i="57"/>
  <c r="S64" i="57"/>
  <c r="S62" i="57"/>
  <c r="S60" i="57"/>
  <c r="S58" i="57"/>
  <c r="S56" i="57"/>
  <c r="R68" i="57"/>
  <c r="R66" i="57"/>
  <c r="R64" i="57"/>
  <c r="R62" i="57"/>
  <c r="R60" i="57"/>
  <c r="R58" i="57"/>
  <c r="R56" i="57"/>
  <c r="R54" i="57"/>
  <c r="R52" i="57"/>
  <c r="R50" i="57"/>
  <c r="R48" i="57"/>
  <c r="R46" i="57"/>
  <c r="R44" i="57"/>
  <c r="R42" i="57"/>
  <c r="R40" i="57"/>
  <c r="U65" i="57"/>
  <c r="U61" i="57"/>
  <c r="U57" i="57"/>
  <c r="U53" i="57"/>
  <c r="U49" i="57"/>
  <c r="U45" i="57"/>
  <c r="W5" i="57"/>
  <c r="W7" i="57"/>
  <c r="W9" i="57"/>
  <c r="W11" i="57"/>
  <c r="W13" i="57"/>
  <c r="W15" i="57"/>
  <c r="W17" i="57"/>
  <c r="V20" i="57"/>
  <c r="X22" i="57"/>
  <c r="W25" i="57"/>
  <c r="S29" i="57"/>
  <c r="S33" i="57"/>
  <c r="S37" i="57"/>
  <c r="W43" i="57"/>
  <c r="W51" i="57"/>
  <c r="T6" i="57"/>
  <c r="T8" i="57"/>
  <c r="T10" i="57"/>
  <c r="T12" i="57"/>
  <c r="T14" i="57"/>
  <c r="T16" i="57"/>
  <c r="T18" i="57"/>
  <c r="S21" i="57"/>
  <c r="R24" i="57"/>
  <c r="T26" i="57"/>
  <c r="S30" i="57"/>
  <c r="S34" i="57"/>
  <c r="S38" i="57"/>
  <c r="S45" i="57"/>
  <c r="S53" i="57"/>
  <c r="T67" i="57"/>
  <c r="T65" i="57"/>
  <c r="T63" i="57"/>
  <c r="T61" i="57"/>
  <c r="T59" i="57"/>
  <c r="T57" i="57"/>
  <c r="T55" i="57"/>
  <c r="T53" i="57"/>
  <c r="T51" i="57"/>
  <c r="T49" i="57"/>
  <c r="T47" i="57"/>
  <c r="T45" i="57"/>
  <c r="T43" i="57"/>
  <c r="T41" i="57"/>
  <c r="T39" i="57"/>
  <c r="T37" i="57"/>
  <c r="T35" i="57"/>
  <c r="T33" i="57"/>
  <c r="T31" i="57"/>
  <c r="T29" i="57"/>
  <c r="T27" i="57"/>
  <c r="W67" i="57"/>
  <c r="W65" i="57"/>
  <c r="W63" i="57"/>
  <c r="W61" i="57"/>
  <c r="W59" i="57"/>
  <c r="W57" i="57"/>
  <c r="W55" i="57"/>
  <c r="V67" i="57"/>
  <c r="V65" i="57"/>
  <c r="V63" i="57"/>
  <c r="V61" i="57"/>
  <c r="V59" i="57"/>
  <c r="V57" i="57"/>
  <c r="V55" i="57"/>
  <c r="V53" i="57"/>
  <c r="V51" i="57"/>
  <c r="V49" i="57"/>
  <c r="V47" i="57"/>
  <c r="V45" i="57"/>
  <c r="V43" i="57"/>
  <c r="V41" i="57"/>
  <c r="U68" i="57"/>
  <c r="U64" i="57"/>
  <c r="U60" i="57"/>
  <c r="U56" i="57"/>
  <c r="U52" i="57"/>
  <c r="U48" i="57"/>
  <c r="U44" i="57"/>
  <c r="W54" i="57"/>
  <c r="S6" i="57"/>
  <c r="S8" i="57"/>
  <c r="S10" i="57"/>
  <c r="S12" i="57"/>
  <c r="S14" i="57"/>
  <c r="S16" i="57"/>
  <c r="S18" i="57"/>
  <c r="R21" i="57"/>
  <c r="T23" i="57"/>
  <c r="S26" i="57"/>
  <c r="R30" i="57"/>
  <c r="R34" i="57"/>
  <c r="R38" i="57"/>
  <c r="S46" i="57"/>
  <c r="S54" i="57"/>
  <c r="X6" i="57"/>
  <c r="X8" i="57"/>
  <c r="X10" i="57"/>
  <c r="X12" i="57"/>
  <c r="X14" i="57"/>
  <c r="X16" i="57"/>
  <c r="V19" i="57"/>
  <c r="X21" i="57"/>
  <c r="W24" i="57"/>
  <c r="R27" i="57"/>
  <c r="R31" i="57"/>
  <c r="R35" i="57"/>
  <c r="R39" i="57"/>
  <c r="W46" i="57"/>
  <c r="X68" i="57"/>
  <c r="X66" i="57"/>
  <c r="X64" i="57"/>
  <c r="X62" i="57"/>
  <c r="X60" i="57"/>
  <c r="X58" i="57"/>
  <c r="X56" i="57"/>
  <c r="X54" i="57"/>
  <c r="X52" i="57"/>
  <c r="X50" i="57"/>
  <c r="X48" i="57"/>
  <c r="X46" i="57"/>
  <c r="X44" i="57"/>
  <c r="X42" i="57"/>
  <c r="X40" i="57"/>
  <c r="X38" i="57"/>
  <c r="X36" i="57"/>
  <c r="X34" i="57"/>
  <c r="X32" i="57"/>
  <c r="X30" i="57"/>
  <c r="X28" i="57"/>
  <c r="X26" i="57"/>
  <c r="S67" i="57"/>
  <c r="S65" i="57"/>
  <c r="S63" i="57"/>
  <c r="S61" i="57"/>
  <c r="S59" i="57"/>
  <c r="S57" i="57"/>
  <c r="S55" i="57"/>
  <c r="R67" i="57"/>
  <c r="R65" i="57"/>
  <c r="R63" i="57"/>
  <c r="R61" i="57"/>
  <c r="R59" i="57"/>
  <c r="R57" i="57"/>
  <c r="R55" i="57"/>
  <c r="R53" i="57"/>
  <c r="R51" i="57"/>
  <c r="R49" i="57"/>
  <c r="R47" i="57"/>
  <c r="R45" i="57"/>
  <c r="R43" i="57"/>
  <c r="R41" i="57"/>
  <c r="U67" i="57"/>
  <c r="U63" i="57"/>
  <c r="U59" i="57"/>
  <c r="U55" i="57"/>
  <c r="U51" i="57"/>
  <c r="U47" i="57"/>
  <c r="U43" i="57"/>
  <c r="U39" i="57"/>
  <c r="U35" i="57"/>
  <c r="U31" i="57"/>
  <c r="U27" i="57"/>
  <c r="U23" i="57"/>
  <c r="W6" i="57"/>
  <c r="W8" i="57"/>
  <c r="W10" i="57"/>
  <c r="W12" i="57"/>
  <c r="W14" i="57"/>
  <c r="W16" i="57"/>
  <c r="X18" i="57"/>
  <c r="W21" i="57"/>
  <c r="V24" i="57"/>
  <c r="W27" i="57"/>
  <c r="W31" i="57"/>
  <c r="W35" i="57"/>
  <c r="W39" i="57"/>
  <c r="W47" i="57"/>
  <c r="T5" i="57"/>
  <c r="T7" i="57"/>
  <c r="T9" i="57"/>
  <c r="T11" i="57"/>
  <c r="T13" i="57"/>
  <c r="T15" i="57"/>
  <c r="T17" i="57"/>
  <c r="R20" i="57"/>
  <c r="T22" i="57"/>
  <c r="S25" i="57"/>
  <c r="W28" i="57"/>
  <c r="W32" i="57"/>
  <c r="W36" i="57"/>
  <c r="S41" i="57"/>
  <c r="S49" i="57"/>
  <c r="T68" i="57"/>
  <c r="T66" i="57"/>
  <c r="T64" i="57"/>
  <c r="T62" i="57"/>
  <c r="T60" i="57"/>
  <c r="T58" i="57"/>
  <c r="T56" i="57"/>
  <c r="T54" i="57"/>
  <c r="T52" i="57"/>
  <c r="T50" i="57"/>
  <c r="T48" i="57"/>
  <c r="T46" i="57"/>
  <c r="T44" i="57"/>
  <c r="T42" i="57"/>
  <c r="T40" i="57"/>
  <c r="T38" i="57"/>
  <c r="T36" i="57"/>
  <c r="T34" i="57"/>
  <c r="T32" i="57"/>
  <c r="T30" i="57"/>
  <c r="T28" i="57"/>
  <c r="W68" i="57"/>
  <c r="W66" i="57"/>
  <c r="W64" i="57"/>
  <c r="W62" i="57"/>
  <c r="W60" i="57"/>
  <c r="W58" i="57"/>
  <c r="W56" i="57"/>
  <c r="V68" i="57"/>
  <c r="V66" i="57"/>
  <c r="V64" i="57"/>
  <c r="V62" i="57"/>
  <c r="V60" i="57"/>
  <c r="V58" i="57"/>
  <c r="V56" i="57"/>
  <c r="V54" i="57"/>
  <c r="V52" i="57"/>
  <c r="V50" i="57"/>
  <c r="V48" i="57"/>
  <c r="V46" i="57"/>
  <c r="V44" i="57"/>
  <c r="V42" i="57"/>
  <c r="V40" i="57"/>
  <c r="U66" i="57"/>
  <c r="U62" i="57"/>
  <c r="U58" i="57"/>
  <c r="U54" i="57"/>
  <c r="U50" i="57"/>
  <c r="U46" i="57"/>
  <c r="U41" i="57"/>
  <c r="U36" i="57"/>
  <c r="U30" i="57"/>
  <c r="U25" i="57"/>
  <c r="U20" i="57"/>
  <c r="U6" i="57"/>
  <c r="U10" i="57"/>
  <c r="U14" i="57"/>
  <c r="V18" i="57"/>
  <c r="X20" i="57"/>
  <c r="W23" i="57"/>
  <c r="V26" i="57"/>
  <c r="V30" i="57"/>
  <c r="V34" i="57"/>
  <c r="V38" i="57"/>
  <c r="S44" i="57"/>
  <c r="S52" i="57"/>
  <c r="R6" i="57"/>
  <c r="R8" i="57"/>
  <c r="R10" i="57"/>
  <c r="R12" i="57"/>
  <c r="R14" i="57"/>
  <c r="R16" i="57"/>
  <c r="R18" i="57"/>
  <c r="T20" i="57"/>
  <c r="S23" i="57"/>
  <c r="R26" i="57"/>
  <c r="R29" i="57"/>
  <c r="R33" i="57"/>
  <c r="R37" i="57"/>
  <c r="S43" i="57"/>
  <c r="S51" i="57"/>
  <c r="U40" i="57"/>
  <c r="U34" i="57"/>
  <c r="U29" i="57"/>
  <c r="U24" i="57"/>
  <c r="U19" i="57"/>
  <c r="U7" i="57"/>
  <c r="U11" i="57"/>
  <c r="U15" i="57"/>
  <c r="R19" i="57"/>
  <c r="T21" i="57"/>
  <c r="S24" i="57"/>
  <c r="S27" i="57"/>
  <c r="S31" i="57"/>
  <c r="S35" i="57"/>
  <c r="S39" i="57"/>
  <c r="W45" i="57"/>
  <c r="W53" i="57"/>
  <c r="V6" i="57"/>
  <c r="V8" i="57"/>
  <c r="V10" i="57"/>
  <c r="V12" i="57"/>
  <c r="V14" i="57"/>
  <c r="V16" i="57"/>
  <c r="W18" i="57"/>
  <c r="V21" i="57"/>
  <c r="X23" i="57"/>
  <c r="W26" i="57"/>
  <c r="W30" i="57"/>
  <c r="W34" i="57"/>
  <c r="W38" i="57"/>
  <c r="W44" i="57"/>
  <c r="W52" i="57"/>
  <c r="U38" i="57"/>
  <c r="U33" i="57"/>
  <c r="U28" i="57"/>
  <c r="U22" i="57"/>
  <c r="U18" i="57"/>
  <c r="U8" i="57"/>
  <c r="U12" i="57"/>
  <c r="U16" i="57"/>
  <c r="W19" i="57"/>
  <c r="V22" i="57"/>
  <c r="X24" i="57"/>
  <c r="R28" i="57"/>
  <c r="R32" i="57"/>
  <c r="R36" i="57"/>
  <c r="S40" i="57"/>
  <c r="S48" i="57"/>
  <c r="R5" i="57"/>
  <c r="R7" i="57"/>
  <c r="R9" i="57"/>
  <c r="R11" i="57"/>
  <c r="R13" i="57"/>
  <c r="R15" i="57"/>
  <c r="R17" i="57"/>
  <c r="S19" i="57"/>
  <c r="R22" i="57"/>
  <c r="T24" i="57"/>
  <c r="V27" i="57"/>
  <c r="V31" i="57"/>
  <c r="V35" i="57"/>
  <c r="V39" i="57"/>
  <c r="S47" i="57"/>
  <c r="U42" i="57"/>
  <c r="U37" i="57"/>
  <c r="U32" i="57"/>
  <c r="U26" i="57"/>
  <c r="U21" i="57"/>
  <c r="U5" i="57"/>
  <c r="U9" i="57"/>
  <c r="U13" i="57"/>
  <c r="U17" i="57"/>
  <c r="S20" i="57"/>
  <c r="R23" i="57"/>
  <c r="T25" i="57"/>
  <c r="W29" i="57"/>
  <c r="W33" i="57"/>
  <c r="W37" i="57"/>
  <c r="W41" i="57"/>
  <c r="W49" i="57"/>
  <c r="V5" i="57"/>
  <c r="V7" i="57"/>
  <c r="V9" i="57"/>
  <c r="V11" i="57"/>
  <c r="V13" i="57"/>
  <c r="V15" i="57"/>
  <c r="V17" i="57"/>
  <c r="X19" i="57"/>
  <c r="W22" i="57"/>
  <c r="V25" i="57"/>
  <c r="S28" i="57"/>
  <c r="S32" i="57"/>
  <c r="S36" i="57"/>
  <c r="W40" i="57"/>
  <c r="W48" i="57"/>
  <c r="M20" i="57"/>
  <c r="W4" i="57"/>
  <c r="M4" i="57"/>
  <c r="D9" i="57"/>
  <c r="D8" i="57"/>
  <c r="D54" i="57"/>
  <c r="D53" i="57"/>
  <c r="D44" i="57"/>
  <c r="D61" i="57"/>
  <c r="D66" i="57"/>
  <c r="D12" i="57"/>
  <c r="D55" i="57"/>
  <c r="D18" i="57"/>
  <c r="D15" i="57"/>
  <c r="D17" i="57"/>
  <c r="D13" i="57"/>
  <c r="D42" i="57"/>
  <c r="C5" i="57"/>
  <c r="I4" i="57"/>
  <c r="K4" i="57"/>
  <c r="D14" i="57"/>
  <c r="D46" i="57"/>
  <c r="D28" i="57"/>
  <c r="D27" i="57"/>
  <c r="D26" i="57"/>
  <c r="D25" i="57"/>
  <c r="D24" i="57"/>
  <c r="X5" i="57"/>
  <c r="X4" i="57"/>
  <c r="D4" i="57"/>
  <c r="D19" i="57"/>
  <c r="L4" i="57"/>
  <c r="Q68" i="53"/>
  <c r="Q67" i="53"/>
  <c r="Q66" i="53"/>
  <c r="Q65" i="53"/>
  <c r="Q64" i="53"/>
  <c r="Q63" i="53"/>
  <c r="Q62" i="53"/>
  <c r="Q61" i="53"/>
  <c r="Q60" i="53"/>
  <c r="Q59" i="53"/>
  <c r="Q58" i="53"/>
  <c r="Q57" i="53"/>
  <c r="Q56" i="53"/>
  <c r="Q55" i="53"/>
  <c r="Q54" i="53"/>
  <c r="Q53" i="53"/>
  <c r="Q52" i="53"/>
  <c r="Q51" i="53"/>
  <c r="Q50" i="53"/>
  <c r="Q49" i="53"/>
  <c r="Q48" i="53"/>
  <c r="Q47" i="53"/>
  <c r="Q46" i="53"/>
  <c r="Q45" i="53"/>
  <c r="Q44" i="53"/>
  <c r="Q43" i="53"/>
  <c r="Q42" i="53"/>
  <c r="Q41" i="53"/>
  <c r="Q40" i="53"/>
  <c r="Q39" i="53"/>
  <c r="Q38" i="53"/>
  <c r="Q37" i="53"/>
  <c r="Q36" i="53"/>
  <c r="Q35" i="53"/>
  <c r="Q34" i="53"/>
  <c r="Q33" i="53"/>
  <c r="Q32" i="53"/>
  <c r="Q31" i="53"/>
  <c r="Q30" i="53"/>
  <c r="Q29" i="53"/>
  <c r="Q28" i="53"/>
  <c r="Q27" i="53"/>
  <c r="Q26" i="53"/>
  <c r="Q25" i="53"/>
  <c r="Q24" i="53"/>
  <c r="Q23" i="53"/>
  <c r="Q22" i="53"/>
  <c r="Q21" i="53"/>
  <c r="Q20" i="53"/>
  <c r="Q19" i="53"/>
  <c r="Q18" i="53"/>
  <c r="Q17" i="53"/>
  <c r="Q16" i="53"/>
  <c r="Q14" i="53"/>
  <c r="Q13" i="53"/>
  <c r="Q12" i="53"/>
  <c r="Q11" i="53"/>
  <c r="Q10" i="53"/>
  <c r="Q9" i="53"/>
  <c r="Q8" i="53"/>
  <c r="Q7" i="53"/>
  <c r="Q6" i="53"/>
  <c r="Q5" i="53"/>
  <c r="A6" i="53"/>
  <c r="B6" i="53"/>
  <c r="C6" i="53"/>
  <c r="E6" i="53"/>
  <c r="A7" i="53"/>
  <c r="B7" i="53"/>
  <c r="C7" i="53"/>
  <c r="E7" i="53"/>
  <c r="M68" i="53"/>
  <c r="E68" i="53"/>
  <c r="D68" i="53"/>
  <c r="C68" i="53"/>
  <c r="B68" i="53"/>
  <c r="A68" i="53"/>
  <c r="M67" i="53"/>
  <c r="E67" i="53"/>
  <c r="D67" i="53"/>
  <c r="C67" i="53"/>
  <c r="B67" i="53"/>
  <c r="A67" i="53"/>
  <c r="M66" i="53"/>
  <c r="E66" i="53"/>
  <c r="C66" i="53"/>
  <c r="B66" i="53"/>
  <c r="A66" i="53"/>
  <c r="M65" i="53"/>
  <c r="E65" i="53"/>
  <c r="D65" i="53"/>
  <c r="C65" i="53"/>
  <c r="B65" i="53"/>
  <c r="A65" i="53"/>
  <c r="M64" i="53"/>
  <c r="E64" i="53"/>
  <c r="D64" i="53"/>
  <c r="C64" i="53"/>
  <c r="B64" i="53"/>
  <c r="A64" i="53"/>
  <c r="M63" i="53"/>
  <c r="E63" i="53"/>
  <c r="D63" i="53"/>
  <c r="A63" i="53"/>
  <c r="M62" i="53"/>
  <c r="E62" i="53"/>
  <c r="D62" i="53"/>
  <c r="C62" i="53"/>
  <c r="M61" i="53"/>
  <c r="E61" i="53"/>
  <c r="C61" i="53"/>
  <c r="B61" i="53"/>
  <c r="A61" i="53"/>
  <c r="M60" i="53"/>
  <c r="E60" i="53"/>
  <c r="D60" i="53"/>
  <c r="C60" i="53"/>
  <c r="B60" i="53"/>
  <c r="A60" i="53"/>
  <c r="M59" i="53"/>
  <c r="E59" i="53"/>
  <c r="D59" i="53"/>
  <c r="C59" i="53"/>
  <c r="B59" i="53"/>
  <c r="A59" i="53"/>
  <c r="M58" i="53"/>
  <c r="E58" i="53"/>
  <c r="D58" i="53"/>
  <c r="C58" i="53"/>
  <c r="B58" i="53"/>
  <c r="A58" i="53"/>
  <c r="M57" i="53"/>
  <c r="E57" i="53"/>
  <c r="D57" i="53"/>
  <c r="A57" i="53"/>
  <c r="M56" i="53"/>
  <c r="E56" i="53"/>
  <c r="D56" i="53"/>
  <c r="C56" i="53"/>
  <c r="M55" i="53"/>
  <c r="E55" i="53"/>
  <c r="C55" i="53"/>
  <c r="B55" i="53"/>
  <c r="A55" i="53"/>
  <c r="M54" i="53"/>
  <c r="E54" i="53"/>
  <c r="C54" i="53"/>
  <c r="B54" i="53"/>
  <c r="A54" i="53"/>
  <c r="M53" i="53"/>
  <c r="E53" i="53"/>
  <c r="C53" i="53"/>
  <c r="B53" i="53"/>
  <c r="A53" i="53"/>
  <c r="M52" i="53"/>
  <c r="E52" i="53"/>
  <c r="D52" i="53"/>
  <c r="B52" i="53"/>
  <c r="A52" i="53"/>
  <c r="M51" i="53"/>
  <c r="E51" i="53"/>
  <c r="D51" i="53"/>
  <c r="M50" i="53"/>
  <c r="E50" i="53"/>
  <c r="D50" i="53"/>
  <c r="M49" i="53"/>
  <c r="E49" i="53"/>
  <c r="D49" i="53"/>
  <c r="C49" i="53"/>
  <c r="B49" i="53"/>
  <c r="A49" i="53"/>
  <c r="M48" i="53"/>
  <c r="E48" i="53"/>
  <c r="D48" i="53"/>
  <c r="C48" i="53"/>
  <c r="B48" i="53"/>
  <c r="A48" i="53"/>
  <c r="M47" i="53"/>
  <c r="E47" i="53"/>
  <c r="D47" i="53"/>
  <c r="C47" i="53"/>
  <c r="B47" i="53"/>
  <c r="A47" i="53"/>
  <c r="M46" i="53"/>
  <c r="E46" i="53"/>
  <c r="C46" i="53"/>
  <c r="B46" i="53"/>
  <c r="A46" i="53"/>
  <c r="M45" i="53"/>
  <c r="E45" i="53"/>
  <c r="D45" i="53"/>
  <c r="C45" i="53"/>
  <c r="B45" i="53"/>
  <c r="A45" i="53"/>
  <c r="M44" i="53"/>
  <c r="E44" i="53"/>
  <c r="C44" i="53"/>
  <c r="B44" i="53"/>
  <c r="A44" i="53"/>
  <c r="M43" i="53"/>
  <c r="E43" i="53"/>
  <c r="C43" i="53"/>
  <c r="B43" i="53"/>
  <c r="A43" i="53"/>
  <c r="M42" i="53"/>
  <c r="E42" i="53"/>
  <c r="C42" i="53"/>
  <c r="B42" i="53"/>
  <c r="A42" i="53"/>
  <c r="M41" i="53"/>
  <c r="E41" i="53"/>
  <c r="D41" i="53"/>
  <c r="B41" i="53"/>
  <c r="A41" i="53"/>
  <c r="M40" i="53"/>
  <c r="E40" i="53"/>
  <c r="D40" i="53"/>
  <c r="M39" i="53"/>
  <c r="E39" i="53"/>
  <c r="D39" i="53"/>
  <c r="C39" i="53"/>
  <c r="B39" i="53"/>
  <c r="A39" i="53"/>
  <c r="M38" i="53"/>
  <c r="E38" i="53"/>
  <c r="D38" i="53"/>
  <c r="C38" i="53"/>
  <c r="B38" i="53"/>
  <c r="A38" i="53"/>
  <c r="M37" i="53"/>
  <c r="E37" i="53"/>
  <c r="D37" i="53"/>
  <c r="C37" i="53"/>
  <c r="B37" i="53"/>
  <c r="A37" i="53"/>
  <c r="M36" i="53"/>
  <c r="E36" i="53"/>
  <c r="D36" i="53"/>
  <c r="C36" i="53"/>
  <c r="B36" i="53"/>
  <c r="A36" i="53"/>
  <c r="M35" i="53"/>
  <c r="E35" i="53"/>
  <c r="D35" i="53"/>
  <c r="C35" i="53"/>
  <c r="B35" i="53"/>
  <c r="A35" i="53"/>
  <c r="M34" i="53"/>
  <c r="E34" i="53"/>
  <c r="D34" i="53"/>
  <c r="C34" i="53"/>
  <c r="B34" i="53"/>
  <c r="A34" i="53"/>
  <c r="M33" i="53"/>
  <c r="E33" i="53"/>
  <c r="D33" i="53"/>
  <c r="C33" i="53"/>
  <c r="B33" i="53"/>
  <c r="A33" i="53"/>
  <c r="M32" i="53"/>
  <c r="E32" i="53"/>
  <c r="D32" i="53"/>
  <c r="M31" i="53"/>
  <c r="E31" i="53"/>
  <c r="D31" i="53"/>
  <c r="C31" i="53"/>
  <c r="B31" i="53"/>
  <c r="A31" i="53"/>
  <c r="M30" i="53"/>
  <c r="E30" i="53"/>
  <c r="D30" i="53"/>
  <c r="C30" i="53"/>
  <c r="B30" i="53"/>
  <c r="A30" i="53"/>
  <c r="M29" i="53"/>
  <c r="E29" i="53"/>
  <c r="D29" i="53"/>
  <c r="C29" i="53"/>
  <c r="B29" i="53"/>
  <c r="A29" i="53"/>
  <c r="M28" i="53"/>
  <c r="E28" i="53"/>
  <c r="C28" i="53"/>
  <c r="B28" i="53"/>
  <c r="A28" i="53"/>
  <c r="M27" i="53"/>
  <c r="E27" i="53"/>
  <c r="C27" i="53"/>
  <c r="B27" i="53"/>
  <c r="A27" i="53"/>
  <c r="M26" i="53"/>
  <c r="E26" i="53"/>
  <c r="C26" i="53"/>
  <c r="B26" i="53"/>
  <c r="A26" i="53"/>
  <c r="M25" i="53"/>
  <c r="E25" i="53"/>
  <c r="C25" i="53"/>
  <c r="B25" i="53"/>
  <c r="A25" i="53"/>
  <c r="M24" i="53"/>
  <c r="E24" i="53"/>
  <c r="C24" i="53"/>
  <c r="B24" i="53"/>
  <c r="A24" i="53"/>
  <c r="M23" i="53"/>
  <c r="M22" i="53"/>
  <c r="E22" i="53"/>
  <c r="D22" i="53"/>
  <c r="C22" i="53"/>
  <c r="B22" i="53"/>
  <c r="A22" i="53"/>
  <c r="M21" i="53"/>
  <c r="E21" i="53"/>
  <c r="D21" i="53"/>
  <c r="C21" i="53"/>
  <c r="B21" i="53"/>
  <c r="A21" i="53"/>
  <c r="M20" i="53"/>
  <c r="E20" i="53"/>
  <c r="C20" i="53"/>
  <c r="B20" i="53"/>
  <c r="A20" i="53"/>
  <c r="M19" i="53"/>
  <c r="E19" i="53"/>
  <c r="C19" i="53"/>
  <c r="B19" i="53"/>
  <c r="A19" i="53"/>
  <c r="M18" i="53"/>
  <c r="E18" i="53"/>
  <c r="C18" i="53"/>
  <c r="B18" i="53"/>
  <c r="A18" i="53"/>
  <c r="M17" i="53"/>
  <c r="E17" i="53"/>
  <c r="C17" i="53"/>
  <c r="B17" i="53"/>
  <c r="A17" i="53"/>
  <c r="M16" i="53"/>
  <c r="D16" i="53"/>
  <c r="B15" i="53"/>
  <c r="A15" i="53"/>
  <c r="M14" i="53"/>
  <c r="E14" i="53"/>
  <c r="C14" i="53"/>
  <c r="B14" i="53"/>
  <c r="A14" i="53"/>
  <c r="M13" i="53"/>
  <c r="E13" i="53"/>
  <c r="C13" i="53"/>
  <c r="B13" i="53"/>
  <c r="A13" i="53"/>
  <c r="M12" i="53"/>
  <c r="E12" i="53"/>
  <c r="C12" i="53"/>
  <c r="B12" i="53"/>
  <c r="A12" i="53"/>
  <c r="M11" i="53"/>
  <c r="D11" i="53"/>
  <c r="B11" i="53"/>
  <c r="A11" i="53"/>
  <c r="M10" i="53"/>
  <c r="D10" i="53"/>
  <c r="M9" i="53"/>
  <c r="E9" i="53"/>
  <c r="C9" i="53"/>
  <c r="B9" i="53"/>
  <c r="A9" i="53"/>
  <c r="M8" i="53"/>
  <c r="E8" i="53"/>
  <c r="C8" i="53"/>
  <c r="B8" i="53"/>
  <c r="A8" i="53"/>
  <c r="C4" i="53"/>
  <c r="M5" i="53"/>
  <c r="B5" i="53"/>
  <c r="A5" i="53"/>
  <c r="B2" i="53"/>
  <c r="D43" i="53"/>
  <c r="Q15" i="53"/>
  <c r="S5" i="53"/>
  <c r="V27" i="53"/>
  <c r="V5" i="53"/>
  <c r="V7" i="53"/>
  <c r="V9" i="53"/>
  <c r="V11" i="53"/>
  <c r="V13" i="53"/>
  <c r="V15" i="53"/>
  <c r="W17" i="53"/>
  <c r="V20" i="53"/>
  <c r="X22" i="53"/>
  <c r="W25" i="53"/>
  <c r="W6" i="53"/>
  <c r="W8" i="53"/>
  <c r="W10" i="53"/>
  <c r="W12" i="53"/>
  <c r="W14" i="53"/>
  <c r="W16" i="53"/>
  <c r="V19" i="53"/>
  <c r="X21" i="53"/>
  <c r="W24" i="53"/>
  <c r="R27" i="53"/>
  <c r="X6" i="53"/>
  <c r="X8" i="53"/>
  <c r="X10" i="53"/>
  <c r="X12" i="53"/>
  <c r="X14" i="53"/>
  <c r="X16" i="53"/>
  <c r="W19" i="53"/>
  <c r="V22" i="53"/>
  <c r="X24" i="53"/>
  <c r="T68" i="53"/>
  <c r="T66" i="53"/>
  <c r="T64" i="53"/>
  <c r="T62" i="53"/>
  <c r="T60" i="53"/>
  <c r="T58" i="53"/>
  <c r="T56" i="53"/>
  <c r="T54" i="53"/>
  <c r="T52" i="53"/>
  <c r="T50" i="53"/>
  <c r="T48" i="53"/>
  <c r="T46" i="53"/>
  <c r="T44" i="53"/>
  <c r="T42" i="53"/>
  <c r="T40" i="53"/>
  <c r="T38" i="53"/>
  <c r="T36" i="53"/>
  <c r="T34" i="53"/>
  <c r="T32" i="53"/>
  <c r="T30" i="53"/>
  <c r="T28" i="53"/>
  <c r="W68" i="53"/>
  <c r="W66" i="53"/>
  <c r="W64" i="53"/>
  <c r="W62" i="53"/>
  <c r="W60" i="53"/>
  <c r="W58" i="53"/>
  <c r="W56" i="53"/>
  <c r="W54" i="53"/>
  <c r="W52" i="53"/>
  <c r="W50" i="53"/>
  <c r="W48" i="53"/>
  <c r="W46" i="53"/>
  <c r="W44" i="53"/>
  <c r="W42" i="53"/>
  <c r="W40" i="53"/>
  <c r="W38" i="53"/>
  <c r="W36" i="53"/>
  <c r="W34" i="53"/>
  <c r="W32" i="53"/>
  <c r="W30" i="53"/>
  <c r="W28" i="53"/>
  <c r="V68" i="53"/>
  <c r="V66" i="53"/>
  <c r="V64" i="53"/>
  <c r="V62" i="53"/>
  <c r="V60" i="53"/>
  <c r="V58" i="53"/>
  <c r="V56" i="53"/>
  <c r="V54" i="53"/>
  <c r="V52" i="53"/>
  <c r="V50" i="53"/>
  <c r="V48" i="53"/>
  <c r="V46" i="53"/>
  <c r="V44" i="53"/>
  <c r="R6" i="53"/>
  <c r="R8" i="53"/>
  <c r="R10" i="53"/>
  <c r="R12" i="53"/>
  <c r="R14" i="53"/>
  <c r="R16" i="53"/>
  <c r="S18" i="53"/>
  <c r="R21" i="53"/>
  <c r="T23" i="53"/>
  <c r="S26" i="53"/>
  <c r="S7" i="53"/>
  <c r="S9" i="53"/>
  <c r="S11" i="53"/>
  <c r="S13" i="53"/>
  <c r="S15" i="53"/>
  <c r="S17" i="53"/>
  <c r="R20" i="53"/>
  <c r="T22" i="53"/>
  <c r="S25" i="53"/>
  <c r="T5" i="53"/>
  <c r="T7" i="53"/>
  <c r="T9" i="53"/>
  <c r="T11" i="53"/>
  <c r="T13" i="53"/>
  <c r="T15" i="53"/>
  <c r="T17" i="53"/>
  <c r="S20" i="53"/>
  <c r="R23" i="53"/>
  <c r="T25" i="53"/>
  <c r="X67" i="53"/>
  <c r="X65" i="53"/>
  <c r="X63" i="53"/>
  <c r="X61" i="53"/>
  <c r="X59" i="53"/>
  <c r="X57" i="53"/>
  <c r="X55" i="53"/>
  <c r="X53" i="53"/>
  <c r="X51" i="53"/>
  <c r="X49" i="53"/>
  <c r="X47" i="53"/>
  <c r="X45" i="53"/>
  <c r="X43" i="53"/>
  <c r="X41" i="53"/>
  <c r="X39" i="53"/>
  <c r="X37" i="53"/>
  <c r="X35" i="53"/>
  <c r="X33" i="53"/>
  <c r="X31" i="53"/>
  <c r="X29" i="53"/>
  <c r="X27" i="53"/>
  <c r="S68" i="53"/>
  <c r="S66" i="53"/>
  <c r="S64" i="53"/>
  <c r="S62" i="53"/>
  <c r="S60" i="53"/>
  <c r="S58" i="53"/>
  <c r="S56" i="53"/>
  <c r="S54" i="53"/>
  <c r="S52" i="53"/>
  <c r="S50" i="53"/>
  <c r="S48" i="53"/>
  <c r="S46" i="53"/>
  <c r="S44" i="53"/>
  <c r="S42" i="53"/>
  <c r="S40" i="53"/>
  <c r="S38" i="53"/>
  <c r="S36" i="53"/>
  <c r="S34" i="53"/>
  <c r="S32" i="53"/>
  <c r="S30" i="53"/>
  <c r="S28" i="53"/>
  <c r="R68" i="53"/>
  <c r="R66" i="53"/>
  <c r="R64" i="53"/>
  <c r="R62" i="53"/>
  <c r="R60" i="53"/>
  <c r="R58" i="53"/>
  <c r="R56" i="53"/>
  <c r="R54" i="53"/>
  <c r="V6" i="53"/>
  <c r="V8" i="53"/>
  <c r="V10" i="53"/>
  <c r="V12" i="53"/>
  <c r="V14" i="53"/>
  <c r="V16" i="53"/>
  <c r="X18" i="53"/>
  <c r="W21" i="53"/>
  <c r="V24" i="53"/>
  <c r="W5" i="53"/>
  <c r="W7" i="53"/>
  <c r="W9" i="53"/>
  <c r="W11" i="53"/>
  <c r="W13" i="53"/>
  <c r="W15" i="53"/>
  <c r="X17" i="53"/>
  <c r="W20" i="53"/>
  <c r="V23" i="53"/>
  <c r="X25" i="53"/>
  <c r="X7" i="53"/>
  <c r="X9" i="53"/>
  <c r="X11" i="53"/>
  <c r="X13" i="53"/>
  <c r="X15" i="53"/>
  <c r="V18" i="53"/>
  <c r="X20" i="53"/>
  <c r="W23" i="53"/>
  <c r="V26" i="53"/>
  <c r="T67" i="53"/>
  <c r="T65" i="53"/>
  <c r="T63" i="53"/>
  <c r="T61" i="53"/>
  <c r="T59" i="53"/>
  <c r="T57" i="53"/>
  <c r="T55" i="53"/>
  <c r="T53" i="53"/>
  <c r="T51" i="53"/>
  <c r="T49" i="53"/>
  <c r="T47" i="53"/>
  <c r="T45" i="53"/>
  <c r="T43" i="53"/>
  <c r="T41" i="53"/>
  <c r="T39" i="53"/>
  <c r="T37" i="53"/>
  <c r="T35" i="53"/>
  <c r="T33" i="53"/>
  <c r="T31" i="53"/>
  <c r="T29" i="53"/>
  <c r="T27" i="53"/>
  <c r="W67" i="53"/>
  <c r="W65" i="53"/>
  <c r="W63" i="53"/>
  <c r="W61" i="53"/>
  <c r="W59" i="53"/>
  <c r="W57" i="53"/>
  <c r="W55" i="53"/>
  <c r="W53" i="53"/>
  <c r="W51" i="53"/>
  <c r="W49" i="53"/>
  <c r="W47" i="53"/>
  <c r="W45" i="53"/>
  <c r="W43" i="53"/>
  <c r="W41" i="53"/>
  <c r="W39" i="53"/>
  <c r="W37" i="53"/>
  <c r="W35" i="53"/>
  <c r="W33" i="53"/>
  <c r="W31" i="53"/>
  <c r="W29" i="53"/>
  <c r="W27" i="53"/>
  <c r="V67" i="53"/>
  <c r="V65" i="53"/>
  <c r="V63" i="53"/>
  <c r="V61" i="53"/>
  <c r="V59" i="53"/>
  <c r="V57" i="53"/>
  <c r="V55" i="53"/>
  <c r="V53" i="53"/>
  <c r="R5" i="53"/>
  <c r="R7" i="53"/>
  <c r="R9" i="53"/>
  <c r="R11" i="53"/>
  <c r="R13" i="53"/>
  <c r="R15" i="53"/>
  <c r="R17" i="53"/>
  <c r="T19" i="53"/>
  <c r="S22" i="53"/>
  <c r="R25" i="53"/>
  <c r="S6" i="53"/>
  <c r="S8" i="53"/>
  <c r="S10" i="53"/>
  <c r="S12" i="53"/>
  <c r="S14" i="53"/>
  <c r="S16" i="53"/>
  <c r="T18" i="53"/>
  <c r="S21" i="53"/>
  <c r="R24" i="53"/>
  <c r="T26" i="53"/>
  <c r="T6" i="53"/>
  <c r="T8" i="53"/>
  <c r="T10" i="53"/>
  <c r="T12" i="53"/>
  <c r="T14" i="53"/>
  <c r="T16" i="53"/>
  <c r="R19" i="53"/>
  <c r="T21" i="53"/>
  <c r="S24" i="53"/>
  <c r="X68" i="53"/>
  <c r="X66" i="53"/>
  <c r="X64" i="53"/>
  <c r="X62" i="53"/>
  <c r="X60" i="53"/>
  <c r="X58" i="53"/>
  <c r="X56" i="53"/>
  <c r="X54" i="53"/>
  <c r="X52" i="53"/>
  <c r="X50" i="53"/>
  <c r="X48" i="53"/>
  <c r="X46" i="53"/>
  <c r="X44" i="53"/>
  <c r="X42" i="53"/>
  <c r="X40" i="53"/>
  <c r="X38" i="53"/>
  <c r="X36" i="53"/>
  <c r="X34" i="53"/>
  <c r="X32" i="53"/>
  <c r="X30" i="53"/>
  <c r="X28" i="53"/>
  <c r="X26" i="53"/>
  <c r="S67" i="53"/>
  <c r="S65" i="53"/>
  <c r="S63" i="53"/>
  <c r="S61" i="53"/>
  <c r="S59" i="53"/>
  <c r="S57" i="53"/>
  <c r="S55" i="53"/>
  <c r="S53" i="53"/>
  <c r="S51" i="53"/>
  <c r="S49" i="53"/>
  <c r="S47" i="53"/>
  <c r="S45" i="53"/>
  <c r="S43" i="53"/>
  <c r="S41" i="53"/>
  <c r="S39" i="53"/>
  <c r="S37" i="53"/>
  <c r="S35" i="53"/>
  <c r="S33" i="53"/>
  <c r="S31" i="53"/>
  <c r="S29" i="53"/>
  <c r="S27" i="53"/>
  <c r="R67" i="53"/>
  <c r="R65" i="53"/>
  <c r="R63" i="53"/>
  <c r="R61" i="53"/>
  <c r="R59" i="53"/>
  <c r="R57" i="53"/>
  <c r="R55" i="53"/>
  <c r="V51" i="53"/>
  <c r="R49" i="53"/>
  <c r="R46" i="53"/>
  <c r="V43" i="53"/>
  <c r="V41" i="53"/>
  <c r="V39" i="53"/>
  <c r="V37" i="53"/>
  <c r="V35" i="53"/>
  <c r="V33" i="53"/>
  <c r="V31" i="53"/>
  <c r="V29" i="53"/>
  <c r="U68" i="53"/>
  <c r="U64" i="53"/>
  <c r="U60" i="53"/>
  <c r="U56" i="53"/>
  <c r="U52" i="53"/>
  <c r="U48" i="53"/>
  <c r="U44" i="53"/>
  <c r="U40" i="53"/>
  <c r="U36" i="53"/>
  <c r="U32" i="53"/>
  <c r="U28" i="53"/>
  <c r="U24" i="53"/>
  <c r="U20" i="53"/>
  <c r="U5" i="53"/>
  <c r="U9" i="53"/>
  <c r="U13" i="53"/>
  <c r="V17" i="53"/>
  <c r="X19" i="53"/>
  <c r="W22" i="53"/>
  <c r="V25" i="53"/>
  <c r="R51" i="53"/>
  <c r="R48" i="53"/>
  <c r="V45" i="53"/>
  <c r="R43" i="53"/>
  <c r="R41" i="53"/>
  <c r="R39" i="53"/>
  <c r="R37" i="53"/>
  <c r="R35" i="53"/>
  <c r="R33" i="53"/>
  <c r="R31" i="53"/>
  <c r="R29" i="53"/>
  <c r="U67" i="53"/>
  <c r="U63" i="53"/>
  <c r="U59" i="53"/>
  <c r="U55" i="53"/>
  <c r="U51" i="53"/>
  <c r="U47" i="53"/>
  <c r="U43" i="53"/>
  <c r="U39" i="53"/>
  <c r="U35" i="53"/>
  <c r="U31" i="53"/>
  <c r="U27" i="53"/>
  <c r="U23" i="53"/>
  <c r="U19" i="53"/>
  <c r="U6" i="53"/>
  <c r="U10" i="53"/>
  <c r="U14" i="53"/>
  <c r="R18" i="53"/>
  <c r="T20" i="53"/>
  <c r="S23" i="53"/>
  <c r="R26" i="53"/>
  <c r="R53" i="53"/>
  <c r="R50" i="53"/>
  <c r="V47" i="53"/>
  <c r="R45" i="53"/>
  <c r="V42" i="53"/>
  <c r="V40" i="53"/>
  <c r="V38" i="53"/>
  <c r="V36" i="53"/>
  <c r="V34" i="53"/>
  <c r="V32" i="53"/>
  <c r="V30" i="53"/>
  <c r="V28" i="53"/>
  <c r="U66" i="53"/>
  <c r="U62" i="53"/>
  <c r="U58" i="53"/>
  <c r="U54" i="53"/>
  <c r="U50" i="53"/>
  <c r="U46" i="53"/>
  <c r="U42" i="53"/>
  <c r="U38" i="53"/>
  <c r="U34" i="53"/>
  <c r="U30" i="53"/>
  <c r="U26" i="53"/>
  <c r="U22" i="53"/>
  <c r="U18" i="53"/>
  <c r="U7" i="53"/>
  <c r="U11" i="53"/>
  <c r="U15" i="53"/>
  <c r="W18" i="53"/>
  <c r="V21" i="53"/>
  <c r="X23" i="53"/>
  <c r="W26" i="53"/>
  <c r="R52" i="53"/>
  <c r="V49" i="53"/>
  <c r="R47" i="53"/>
  <c r="R44" i="53"/>
  <c r="R42" i="53"/>
  <c r="R40" i="53"/>
  <c r="R38" i="53"/>
  <c r="R36" i="53"/>
  <c r="R34" i="53"/>
  <c r="R32" i="53"/>
  <c r="R30" i="53"/>
  <c r="R28" i="53"/>
  <c r="U65" i="53"/>
  <c r="U61" i="53"/>
  <c r="U57" i="53"/>
  <c r="U53" i="53"/>
  <c r="U49" i="53"/>
  <c r="U45" i="53"/>
  <c r="U41" i="53"/>
  <c r="U37" i="53"/>
  <c r="U33" i="53"/>
  <c r="U29" i="53"/>
  <c r="U25" i="53"/>
  <c r="U21" i="53"/>
  <c r="U17" i="53"/>
  <c r="U8" i="53"/>
  <c r="U12" i="53"/>
  <c r="U16" i="53"/>
  <c r="S19" i="53"/>
  <c r="R22" i="53"/>
  <c r="T24" i="53"/>
  <c r="M15" i="53"/>
  <c r="W4" i="53"/>
  <c r="M4" i="53"/>
  <c r="D9" i="53"/>
  <c r="D8" i="53"/>
  <c r="D54" i="53"/>
  <c r="D53" i="53"/>
  <c r="D44" i="53"/>
  <c r="D61" i="53"/>
  <c r="D66" i="53"/>
  <c r="D12" i="53"/>
  <c r="D55" i="53"/>
  <c r="D18" i="53"/>
  <c r="D17" i="53"/>
  <c r="D13" i="53"/>
  <c r="D20" i="53"/>
  <c r="D42" i="53"/>
  <c r="D4" i="53"/>
  <c r="X5" i="53"/>
  <c r="X4" i="53"/>
  <c r="C5" i="53"/>
  <c r="I4" i="53"/>
  <c r="K4" i="53"/>
  <c r="D14" i="53"/>
  <c r="D46" i="53"/>
  <c r="D28" i="53"/>
  <c r="D27" i="53"/>
  <c r="D26" i="53"/>
  <c r="D25" i="53"/>
  <c r="D24" i="53"/>
  <c r="D19" i="53"/>
  <c r="L4" i="53"/>
  <c r="Q68" i="66"/>
  <c r="Q67" i="66"/>
  <c r="Q66" i="66"/>
  <c r="Q65" i="66"/>
  <c r="Q64" i="66"/>
  <c r="Q63" i="66"/>
  <c r="Q62" i="66"/>
  <c r="Q61" i="66"/>
  <c r="Q60" i="66"/>
  <c r="Q59" i="66"/>
  <c r="Q58" i="66"/>
  <c r="Q57" i="66"/>
  <c r="Q56" i="66"/>
  <c r="Q55" i="66"/>
  <c r="Q54" i="66"/>
  <c r="Q53" i="66"/>
  <c r="Q52" i="66"/>
  <c r="Q51" i="66"/>
  <c r="Q50" i="66"/>
  <c r="Q49" i="66"/>
  <c r="Q48" i="66"/>
  <c r="Q47" i="66"/>
  <c r="Q46" i="66"/>
  <c r="Q45" i="66"/>
  <c r="Q44" i="66"/>
  <c r="Q43" i="66"/>
  <c r="Q42" i="66"/>
  <c r="Q41" i="66"/>
  <c r="Q40" i="66"/>
  <c r="Q39" i="66"/>
  <c r="Q38" i="66"/>
  <c r="Q37" i="66"/>
  <c r="Q36" i="66"/>
  <c r="Q35" i="66"/>
  <c r="Q34" i="66"/>
  <c r="Q33" i="66"/>
  <c r="Q32" i="66"/>
  <c r="Q31" i="66"/>
  <c r="Q30" i="66"/>
  <c r="Q29" i="66"/>
  <c r="Q27" i="66"/>
  <c r="Q26" i="66"/>
  <c r="Q25" i="66"/>
  <c r="Q24" i="66"/>
  <c r="Q23" i="66"/>
  <c r="Q22" i="66"/>
  <c r="Q21" i="66"/>
  <c r="Q20" i="66"/>
  <c r="Q19" i="66"/>
  <c r="Q18" i="66"/>
  <c r="Q17" i="66"/>
  <c r="Q16" i="66"/>
  <c r="Q15" i="66"/>
  <c r="Q14" i="66"/>
  <c r="Q13" i="66"/>
  <c r="Q12" i="66"/>
  <c r="Q11" i="66"/>
  <c r="Q10" i="66"/>
  <c r="Q9" i="66"/>
  <c r="Q8" i="66"/>
  <c r="Q7" i="66"/>
  <c r="Q6" i="66"/>
  <c r="Q5" i="66"/>
  <c r="C4" i="66"/>
  <c r="M68" i="66"/>
  <c r="E68" i="66"/>
  <c r="D68" i="66"/>
  <c r="C68" i="66"/>
  <c r="B68" i="66"/>
  <c r="A68" i="66"/>
  <c r="M67" i="66"/>
  <c r="E67" i="66"/>
  <c r="D67" i="66"/>
  <c r="C67" i="66"/>
  <c r="B67" i="66"/>
  <c r="A67" i="66"/>
  <c r="M66" i="66"/>
  <c r="E66" i="66"/>
  <c r="C66" i="66"/>
  <c r="B66" i="66"/>
  <c r="A66" i="66"/>
  <c r="M65" i="66"/>
  <c r="E65" i="66"/>
  <c r="D65" i="66"/>
  <c r="C65" i="66"/>
  <c r="B65" i="66"/>
  <c r="A65" i="66"/>
  <c r="M64" i="66"/>
  <c r="E64" i="66"/>
  <c r="D64" i="66"/>
  <c r="C64" i="66"/>
  <c r="B64" i="66"/>
  <c r="A64" i="66"/>
  <c r="M63" i="66"/>
  <c r="E63" i="66"/>
  <c r="D63" i="66"/>
  <c r="A63" i="66"/>
  <c r="M62" i="66"/>
  <c r="E62" i="66"/>
  <c r="D62" i="66"/>
  <c r="C62" i="66"/>
  <c r="M61" i="66"/>
  <c r="E61" i="66"/>
  <c r="C61" i="66"/>
  <c r="B61" i="66"/>
  <c r="A61" i="66"/>
  <c r="M60" i="66"/>
  <c r="E60" i="66"/>
  <c r="D60" i="66"/>
  <c r="C60" i="66"/>
  <c r="B60" i="66"/>
  <c r="A60" i="66"/>
  <c r="M59" i="66"/>
  <c r="E59" i="66"/>
  <c r="D59" i="66"/>
  <c r="C59" i="66"/>
  <c r="B59" i="66"/>
  <c r="A59" i="66"/>
  <c r="M58" i="66"/>
  <c r="E58" i="66"/>
  <c r="D58" i="66"/>
  <c r="C58" i="66"/>
  <c r="B58" i="66"/>
  <c r="A58" i="66"/>
  <c r="M57" i="66"/>
  <c r="E57" i="66"/>
  <c r="D57" i="66"/>
  <c r="A57" i="66"/>
  <c r="M56" i="66"/>
  <c r="E56" i="66"/>
  <c r="D56" i="66"/>
  <c r="C56" i="66"/>
  <c r="M55" i="66"/>
  <c r="E55" i="66"/>
  <c r="C55" i="66"/>
  <c r="B55" i="66"/>
  <c r="A55" i="66"/>
  <c r="M54" i="66"/>
  <c r="E54" i="66"/>
  <c r="C54" i="66"/>
  <c r="B54" i="66"/>
  <c r="A54" i="66"/>
  <c r="M53" i="66"/>
  <c r="E53" i="66"/>
  <c r="C53" i="66"/>
  <c r="B53" i="66"/>
  <c r="A53" i="66"/>
  <c r="M52" i="66"/>
  <c r="E52" i="66"/>
  <c r="D52" i="66"/>
  <c r="B52" i="66"/>
  <c r="A52" i="66"/>
  <c r="M51" i="66"/>
  <c r="E51" i="66"/>
  <c r="D51" i="66"/>
  <c r="M50" i="66"/>
  <c r="E50" i="66"/>
  <c r="D50" i="66"/>
  <c r="M49" i="66"/>
  <c r="E49" i="66"/>
  <c r="D49" i="66"/>
  <c r="C49" i="66"/>
  <c r="B49" i="66"/>
  <c r="A49" i="66"/>
  <c r="M48" i="66"/>
  <c r="E48" i="66"/>
  <c r="D48" i="66"/>
  <c r="C48" i="66"/>
  <c r="B48" i="66"/>
  <c r="A48" i="66"/>
  <c r="M47" i="66"/>
  <c r="E47" i="66"/>
  <c r="D47" i="66"/>
  <c r="C47" i="66"/>
  <c r="B47" i="66"/>
  <c r="A47" i="66"/>
  <c r="M46" i="66"/>
  <c r="E46" i="66"/>
  <c r="C46" i="66"/>
  <c r="B46" i="66"/>
  <c r="A46" i="66"/>
  <c r="M45" i="66"/>
  <c r="E45" i="66"/>
  <c r="D45" i="66"/>
  <c r="C45" i="66"/>
  <c r="B45" i="66"/>
  <c r="A45" i="66"/>
  <c r="M44" i="66"/>
  <c r="E44" i="66"/>
  <c r="C44" i="66"/>
  <c r="B44" i="66"/>
  <c r="A44" i="66"/>
  <c r="M43" i="66"/>
  <c r="E43" i="66"/>
  <c r="C43" i="66"/>
  <c r="B43" i="66"/>
  <c r="A43" i="66"/>
  <c r="M42" i="66"/>
  <c r="E42" i="66"/>
  <c r="C42" i="66"/>
  <c r="B42" i="66"/>
  <c r="A42" i="66"/>
  <c r="M41" i="66"/>
  <c r="E41" i="66"/>
  <c r="D41" i="66"/>
  <c r="B41" i="66"/>
  <c r="A41" i="66"/>
  <c r="M40" i="66"/>
  <c r="E40" i="66"/>
  <c r="D40" i="66"/>
  <c r="M39" i="66"/>
  <c r="E39" i="66"/>
  <c r="D39" i="66"/>
  <c r="C39" i="66"/>
  <c r="B39" i="66"/>
  <c r="A39" i="66"/>
  <c r="M38" i="66"/>
  <c r="E38" i="66"/>
  <c r="D38" i="66"/>
  <c r="C38" i="66"/>
  <c r="B38" i="66"/>
  <c r="A38" i="66"/>
  <c r="M37" i="66"/>
  <c r="E37" i="66"/>
  <c r="D37" i="66"/>
  <c r="C37" i="66"/>
  <c r="B37" i="66"/>
  <c r="A37" i="66"/>
  <c r="M36" i="66"/>
  <c r="E36" i="66"/>
  <c r="D36" i="66"/>
  <c r="C36" i="66"/>
  <c r="B36" i="66"/>
  <c r="A36" i="66"/>
  <c r="M35" i="66"/>
  <c r="E35" i="66"/>
  <c r="D35" i="66"/>
  <c r="C35" i="66"/>
  <c r="B35" i="66"/>
  <c r="A35" i="66"/>
  <c r="M34" i="66"/>
  <c r="E34" i="66"/>
  <c r="D34" i="66"/>
  <c r="C34" i="66"/>
  <c r="B34" i="66"/>
  <c r="A34" i="66"/>
  <c r="M33" i="66"/>
  <c r="E33" i="66"/>
  <c r="D33" i="66"/>
  <c r="C33" i="66"/>
  <c r="B33" i="66"/>
  <c r="A33" i="66"/>
  <c r="M32" i="66"/>
  <c r="E32" i="66"/>
  <c r="D32" i="66"/>
  <c r="M31" i="66"/>
  <c r="E31" i="66"/>
  <c r="D31" i="66"/>
  <c r="C31" i="66"/>
  <c r="B31" i="66"/>
  <c r="A31" i="66"/>
  <c r="M30" i="66"/>
  <c r="E30" i="66"/>
  <c r="D30" i="66"/>
  <c r="C30" i="66"/>
  <c r="B30" i="66"/>
  <c r="A30" i="66"/>
  <c r="M29" i="66"/>
  <c r="E29" i="66"/>
  <c r="D29" i="66"/>
  <c r="C29" i="66"/>
  <c r="B29" i="66"/>
  <c r="A29" i="66"/>
  <c r="B28" i="66"/>
  <c r="A28" i="66"/>
  <c r="M27" i="66"/>
  <c r="E27" i="66"/>
  <c r="C27" i="66"/>
  <c r="B27" i="66"/>
  <c r="A27" i="66"/>
  <c r="M26" i="66"/>
  <c r="E26" i="66"/>
  <c r="C26" i="66"/>
  <c r="B26" i="66"/>
  <c r="A26" i="66"/>
  <c r="M25" i="66"/>
  <c r="E25" i="66"/>
  <c r="C25" i="66"/>
  <c r="B25" i="66"/>
  <c r="A25" i="66"/>
  <c r="M24" i="66"/>
  <c r="E24" i="66"/>
  <c r="C24" i="66"/>
  <c r="B24" i="66"/>
  <c r="A24" i="66"/>
  <c r="M23" i="66"/>
  <c r="M22" i="66"/>
  <c r="E22" i="66"/>
  <c r="D22" i="66"/>
  <c r="C22" i="66"/>
  <c r="B22" i="66"/>
  <c r="A22" i="66"/>
  <c r="M21" i="66"/>
  <c r="E21" i="66"/>
  <c r="D21" i="66"/>
  <c r="C21" i="66"/>
  <c r="B21" i="66"/>
  <c r="A21" i="66"/>
  <c r="M20" i="66"/>
  <c r="E20" i="66"/>
  <c r="C20" i="66"/>
  <c r="B20" i="66"/>
  <c r="A20" i="66"/>
  <c r="M19" i="66"/>
  <c r="E19" i="66"/>
  <c r="C19" i="66"/>
  <c r="B19" i="66"/>
  <c r="A19" i="66"/>
  <c r="M18" i="66"/>
  <c r="E18" i="66"/>
  <c r="C18" i="66"/>
  <c r="B18" i="66"/>
  <c r="A18" i="66"/>
  <c r="M17" i="66"/>
  <c r="E17" i="66"/>
  <c r="C17" i="66"/>
  <c r="B17" i="66"/>
  <c r="A17" i="66"/>
  <c r="M16" i="66"/>
  <c r="D16" i="66"/>
  <c r="M15" i="66"/>
  <c r="E15" i="66"/>
  <c r="C15" i="66"/>
  <c r="B15" i="66"/>
  <c r="A15" i="66"/>
  <c r="M14" i="66"/>
  <c r="E14" i="66"/>
  <c r="C14" i="66"/>
  <c r="B14" i="66"/>
  <c r="A14" i="66"/>
  <c r="M13" i="66"/>
  <c r="E13" i="66"/>
  <c r="C13" i="66"/>
  <c r="B13" i="66"/>
  <c r="A13" i="66"/>
  <c r="M12" i="66"/>
  <c r="E12" i="66"/>
  <c r="C12" i="66"/>
  <c r="B12" i="66"/>
  <c r="A12" i="66"/>
  <c r="M11" i="66"/>
  <c r="D11" i="66"/>
  <c r="B11" i="66"/>
  <c r="A11" i="66"/>
  <c r="M10" i="66"/>
  <c r="D10" i="66"/>
  <c r="M9" i="66"/>
  <c r="E9" i="66"/>
  <c r="C9" i="66"/>
  <c r="B9" i="66"/>
  <c r="A9" i="66"/>
  <c r="M8" i="66"/>
  <c r="E8" i="66"/>
  <c r="C8" i="66"/>
  <c r="B8" i="66"/>
  <c r="A8" i="66"/>
  <c r="E7" i="66"/>
  <c r="G7" i="66"/>
  <c r="C7" i="66"/>
  <c r="B7" i="66"/>
  <c r="A7" i="66"/>
  <c r="E6" i="66"/>
  <c r="G6" i="66"/>
  <c r="C6" i="66"/>
  <c r="M6" i="66"/>
  <c r="B6" i="66"/>
  <c r="A6" i="66"/>
  <c r="M5" i="66"/>
  <c r="B5" i="66"/>
  <c r="A5" i="66"/>
  <c r="B2" i="66"/>
  <c r="D43" i="66"/>
  <c r="M7" i="66"/>
  <c r="Q28" i="66"/>
  <c r="M28" i="66"/>
  <c r="V33" i="66"/>
  <c r="X7" i="66"/>
  <c r="X9" i="66"/>
  <c r="X11" i="66"/>
  <c r="X13" i="66"/>
  <c r="X15" i="66"/>
  <c r="X17" i="66"/>
  <c r="X19" i="66"/>
  <c r="X21" i="66"/>
  <c r="X23" i="66"/>
  <c r="X25" i="66"/>
  <c r="R29" i="66"/>
  <c r="X68" i="66"/>
  <c r="X66" i="66"/>
  <c r="X64" i="66"/>
  <c r="X62" i="66"/>
  <c r="X60" i="66"/>
  <c r="X58" i="66"/>
  <c r="X56" i="66"/>
  <c r="X54" i="66"/>
  <c r="X52" i="66"/>
  <c r="X50" i="66"/>
  <c r="X48" i="66"/>
  <c r="X46" i="66"/>
  <c r="X44" i="66"/>
  <c r="X42" i="66"/>
  <c r="X40" i="66"/>
  <c r="X38" i="66"/>
  <c r="X36" i="66"/>
  <c r="X34" i="66"/>
  <c r="X32" i="66"/>
  <c r="X30" i="66"/>
  <c r="X28" i="66"/>
  <c r="X26" i="66"/>
  <c r="S67" i="66"/>
  <c r="S65" i="66"/>
  <c r="S63" i="66"/>
  <c r="S61" i="66"/>
  <c r="S59" i="66"/>
  <c r="S57" i="66"/>
  <c r="S55" i="66"/>
  <c r="S53" i="66"/>
  <c r="S51" i="66"/>
  <c r="S49" i="66"/>
  <c r="S47" i="66"/>
  <c r="S45" i="66"/>
  <c r="S43" i="66"/>
  <c r="S41" i="66"/>
  <c r="S39" i="66"/>
  <c r="S37" i="66"/>
  <c r="S35" i="66"/>
  <c r="S33" i="66"/>
  <c r="S31" i="66"/>
  <c r="S29" i="66"/>
  <c r="S27" i="66"/>
  <c r="V67" i="66"/>
  <c r="V65" i="66"/>
  <c r="V63" i="66"/>
  <c r="V61" i="66"/>
  <c r="V59" i="66"/>
  <c r="V57" i="66"/>
  <c r="V55" i="66"/>
  <c r="V53" i="66"/>
  <c r="V51" i="66"/>
  <c r="V49" i="66"/>
  <c r="V47" i="66"/>
  <c r="V45" i="66"/>
  <c r="V43" i="66"/>
  <c r="V41" i="66"/>
  <c r="V39" i="66"/>
  <c r="V37" i="66"/>
  <c r="V35" i="66"/>
  <c r="U68" i="66"/>
  <c r="U64" i="66"/>
  <c r="U60" i="66"/>
  <c r="U56" i="66"/>
  <c r="U52" i="66"/>
  <c r="U48" i="66"/>
  <c r="U44" i="66"/>
  <c r="U40" i="66"/>
  <c r="U36" i="66"/>
  <c r="U32" i="66"/>
  <c r="U8" i="66"/>
  <c r="U12" i="66"/>
  <c r="T6" i="66"/>
  <c r="T8" i="66"/>
  <c r="T10" i="66"/>
  <c r="T12" i="66"/>
  <c r="T14" i="66"/>
  <c r="T16" i="66"/>
  <c r="T18" i="66"/>
  <c r="T20" i="66"/>
  <c r="T22" i="66"/>
  <c r="T24" i="66"/>
  <c r="T26" i="66"/>
  <c r="R30" i="66"/>
  <c r="T68" i="66"/>
  <c r="T66" i="66"/>
  <c r="T64" i="66"/>
  <c r="T62" i="66"/>
  <c r="T60" i="66"/>
  <c r="T58" i="66"/>
  <c r="T56" i="66"/>
  <c r="T54" i="66"/>
  <c r="T52" i="66"/>
  <c r="T50" i="66"/>
  <c r="T48" i="66"/>
  <c r="T46" i="66"/>
  <c r="T44" i="66"/>
  <c r="T42" i="66"/>
  <c r="T40" i="66"/>
  <c r="T38" i="66"/>
  <c r="T36" i="66"/>
  <c r="T34" i="66"/>
  <c r="T32" i="66"/>
  <c r="T30" i="66"/>
  <c r="T28" i="66"/>
  <c r="W68" i="66"/>
  <c r="W66" i="66"/>
  <c r="W64" i="66"/>
  <c r="W62" i="66"/>
  <c r="W60" i="66"/>
  <c r="W58" i="66"/>
  <c r="W56" i="66"/>
  <c r="W54" i="66"/>
  <c r="W52" i="66"/>
  <c r="W50" i="66"/>
  <c r="W48" i="66"/>
  <c r="W46" i="66"/>
  <c r="W44" i="66"/>
  <c r="W42" i="66"/>
  <c r="W40" i="66"/>
  <c r="W38" i="66"/>
  <c r="W36" i="66"/>
  <c r="W34" i="66"/>
  <c r="W32" i="66"/>
  <c r="W30" i="66"/>
  <c r="W28" i="66"/>
  <c r="W26" i="66"/>
  <c r="R67" i="66"/>
  <c r="R65" i="66"/>
  <c r="R63" i="66"/>
  <c r="R61" i="66"/>
  <c r="R59" i="66"/>
  <c r="R57" i="66"/>
  <c r="R55" i="66"/>
  <c r="R53" i="66"/>
  <c r="R51" i="66"/>
  <c r="R49" i="66"/>
  <c r="R47" i="66"/>
  <c r="R45" i="66"/>
  <c r="R43" i="66"/>
  <c r="R41" i="66"/>
  <c r="R39" i="66"/>
  <c r="R37" i="66"/>
  <c r="R35" i="66"/>
  <c r="U67" i="66"/>
  <c r="U63" i="66"/>
  <c r="U59" i="66"/>
  <c r="U55" i="66"/>
  <c r="U51" i="66"/>
  <c r="U47" i="66"/>
  <c r="X6" i="66"/>
  <c r="X8" i="66"/>
  <c r="X10" i="66"/>
  <c r="X12" i="66"/>
  <c r="X14" i="66"/>
  <c r="X16" i="66"/>
  <c r="X18" i="66"/>
  <c r="X20" i="66"/>
  <c r="X22" i="66"/>
  <c r="X24" i="66"/>
  <c r="R27" i="66"/>
  <c r="R31" i="66"/>
  <c r="X67" i="66"/>
  <c r="X65" i="66"/>
  <c r="X63" i="66"/>
  <c r="X61" i="66"/>
  <c r="X59" i="66"/>
  <c r="X57" i="66"/>
  <c r="X55" i="66"/>
  <c r="X53" i="66"/>
  <c r="X51" i="66"/>
  <c r="X49" i="66"/>
  <c r="X47" i="66"/>
  <c r="X45" i="66"/>
  <c r="X43" i="66"/>
  <c r="X41" i="66"/>
  <c r="X39" i="66"/>
  <c r="X37" i="66"/>
  <c r="X35" i="66"/>
  <c r="X33" i="66"/>
  <c r="X31" i="66"/>
  <c r="X29" i="66"/>
  <c r="X27" i="66"/>
  <c r="S68" i="66"/>
  <c r="S66" i="66"/>
  <c r="S64" i="66"/>
  <c r="S62" i="66"/>
  <c r="S60" i="66"/>
  <c r="S58" i="66"/>
  <c r="S56" i="66"/>
  <c r="S54" i="66"/>
  <c r="S52" i="66"/>
  <c r="S50" i="66"/>
  <c r="S48" i="66"/>
  <c r="S46" i="66"/>
  <c r="S44" i="66"/>
  <c r="S42" i="66"/>
  <c r="S40" i="66"/>
  <c r="S38" i="66"/>
  <c r="S36" i="66"/>
  <c r="S34" i="66"/>
  <c r="S32" i="66"/>
  <c r="S30" i="66"/>
  <c r="S28" i="66"/>
  <c r="V68" i="66"/>
  <c r="V66" i="66"/>
  <c r="V64" i="66"/>
  <c r="V62" i="66"/>
  <c r="V60" i="66"/>
  <c r="V58" i="66"/>
  <c r="V56" i="66"/>
  <c r="V54" i="66"/>
  <c r="V52" i="66"/>
  <c r="V50" i="66"/>
  <c r="V48" i="66"/>
  <c r="V46" i="66"/>
  <c r="V44" i="66"/>
  <c r="V42" i="66"/>
  <c r="V40" i="66"/>
  <c r="V38" i="66"/>
  <c r="V36" i="66"/>
  <c r="V34" i="66"/>
  <c r="U66" i="66"/>
  <c r="U62" i="66"/>
  <c r="U58" i="66"/>
  <c r="U54" i="66"/>
  <c r="T5" i="66"/>
  <c r="T7" i="66"/>
  <c r="T9" i="66"/>
  <c r="T11" i="66"/>
  <c r="T13" i="66"/>
  <c r="T15" i="66"/>
  <c r="T17" i="66"/>
  <c r="T19" i="66"/>
  <c r="T21" i="66"/>
  <c r="T23" i="66"/>
  <c r="T25" i="66"/>
  <c r="R28" i="66"/>
  <c r="R32" i="66"/>
  <c r="T67" i="66"/>
  <c r="T65" i="66"/>
  <c r="T63" i="66"/>
  <c r="T61" i="66"/>
  <c r="T59" i="66"/>
  <c r="T57" i="66"/>
  <c r="T55" i="66"/>
  <c r="T53" i="66"/>
  <c r="T51" i="66"/>
  <c r="T49" i="66"/>
  <c r="T47" i="66"/>
  <c r="T45" i="66"/>
  <c r="T43" i="66"/>
  <c r="T41" i="66"/>
  <c r="T39" i="66"/>
  <c r="T37" i="66"/>
  <c r="T35" i="66"/>
  <c r="T33" i="66"/>
  <c r="T31" i="66"/>
  <c r="T29" i="66"/>
  <c r="T27" i="66"/>
  <c r="W67" i="66"/>
  <c r="W65" i="66"/>
  <c r="W63" i="66"/>
  <c r="W61" i="66"/>
  <c r="W59" i="66"/>
  <c r="W57" i="66"/>
  <c r="W55" i="66"/>
  <c r="W53" i="66"/>
  <c r="W51" i="66"/>
  <c r="W49" i="66"/>
  <c r="W47" i="66"/>
  <c r="W45" i="66"/>
  <c r="W43" i="66"/>
  <c r="W41" i="66"/>
  <c r="W39" i="66"/>
  <c r="W37" i="66"/>
  <c r="W35" i="66"/>
  <c r="W33" i="66"/>
  <c r="W31" i="66"/>
  <c r="W29" i="66"/>
  <c r="W27" i="66"/>
  <c r="R68" i="66"/>
  <c r="R66" i="66"/>
  <c r="R64" i="66"/>
  <c r="R62" i="66"/>
  <c r="R60" i="66"/>
  <c r="R58" i="66"/>
  <c r="R56" i="66"/>
  <c r="R54" i="66"/>
  <c r="R52" i="66"/>
  <c r="R50" i="66"/>
  <c r="R48" i="66"/>
  <c r="R46" i="66"/>
  <c r="R44" i="66"/>
  <c r="R42" i="66"/>
  <c r="R40" i="66"/>
  <c r="R38" i="66"/>
  <c r="R36" i="66"/>
  <c r="R34" i="66"/>
  <c r="U65" i="66"/>
  <c r="U61" i="66"/>
  <c r="U57" i="66"/>
  <c r="U53" i="66"/>
  <c r="U46" i="66"/>
  <c r="U41" i="66"/>
  <c r="U35" i="66"/>
  <c r="U6" i="66"/>
  <c r="U11" i="66"/>
  <c r="U16" i="66"/>
  <c r="U20" i="66"/>
  <c r="U24" i="66"/>
  <c r="U28" i="66"/>
  <c r="V32" i="66"/>
  <c r="V6" i="66"/>
  <c r="V8" i="66"/>
  <c r="V10" i="66"/>
  <c r="V12" i="66"/>
  <c r="V14" i="66"/>
  <c r="V16" i="66"/>
  <c r="V18" i="66"/>
  <c r="V20" i="66"/>
  <c r="V22" i="66"/>
  <c r="V24" i="66"/>
  <c r="V26" i="66"/>
  <c r="V30" i="66"/>
  <c r="S6" i="66"/>
  <c r="S8" i="66"/>
  <c r="S10" i="66"/>
  <c r="S12" i="66"/>
  <c r="S14" i="66"/>
  <c r="S16" i="66"/>
  <c r="S20" i="66"/>
  <c r="S22" i="66"/>
  <c r="S26" i="66"/>
  <c r="U45" i="66"/>
  <c r="U39" i="66"/>
  <c r="U34" i="66"/>
  <c r="U7" i="66"/>
  <c r="U13" i="66"/>
  <c r="U17" i="66"/>
  <c r="U21" i="66"/>
  <c r="U25" i="66"/>
  <c r="U29" i="66"/>
  <c r="R5" i="66"/>
  <c r="R7" i="66"/>
  <c r="R9" i="66"/>
  <c r="R11" i="66"/>
  <c r="R13" i="66"/>
  <c r="R15" i="66"/>
  <c r="R17" i="66"/>
  <c r="R19" i="66"/>
  <c r="R21" i="66"/>
  <c r="R23" i="66"/>
  <c r="R25" i="66"/>
  <c r="V27" i="66"/>
  <c r="V31" i="66"/>
  <c r="W6" i="66"/>
  <c r="W8" i="66"/>
  <c r="W10" i="66"/>
  <c r="W12" i="66"/>
  <c r="W14" i="66"/>
  <c r="W16" i="66"/>
  <c r="W18" i="66"/>
  <c r="W20" i="66"/>
  <c r="W22" i="66"/>
  <c r="W24" i="66"/>
  <c r="R33" i="66"/>
  <c r="U50" i="66"/>
  <c r="U43" i="66"/>
  <c r="U38" i="66"/>
  <c r="U33" i="66"/>
  <c r="U9" i="66"/>
  <c r="U14" i="66"/>
  <c r="U18" i="66"/>
  <c r="U22" i="66"/>
  <c r="U26" i="66"/>
  <c r="U30" i="66"/>
  <c r="V5" i="66"/>
  <c r="V7" i="66"/>
  <c r="V9" i="66"/>
  <c r="V11" i="66"/>
  <c r="V13" i="66"/>
  <c r="V15" i="66"/>
  <c r="V17" i="66"/>
  <c r="V19" i="66"/>
  <c r="V21" i="66"/>
  <c r="V23" i="66"/>
  <c r="V25" i="66"/>
  <c r="V28" i="66"/>
  <c r="S5" i="66"/>
  <c r="S7" i="66"/>
  <c r="S9" i="66"/>
  <c r="S11" i="66"/>
  <c r="S13" i="66"/>
  <c r="S15" i="66"/>
  <c r="S17" i="66"/>
  <c r="S19" i="66"/>
  <c r="S21" i="66"/>
  <c r="S23" i="66"/>
  <c r="S25" i="66"/>
  <c r="U49" i="66"/>
  <c r="U42" i="66"/>
  <c r="U37" i="66"/>
  <c r="U5" i="66"/>
  <c r="U10" i="66"/>
  <c r="U15" i="66"/>
  <c r="U19" i="66"/>
  <c r="U23" i="66"/>
  <c r="U27" i="66"/>
  <c r="U31" i="66"/>
  <c r="R6" i="66"/>
  <c r="R8" i="66"/>
  <c r="R10" i="66"/>
  <c r="R12" i="66"/>
  <c r="R14" i="66"/>
  <c r="R16" i="66"/>
  <c r="R18" i="66"/>
  <c r="R20" i="66"/>
  <c r="R22" i="66"/>
  <c r="R24" i="66"/>
  <c r="R26" i="66"/>
  <c r="V29" i="66"/>
  <c r="W5" i="66"/>
  <c r="W7" i="66"/>
  <c r="W9" i="66"/>
  <c r="W11" i="66"/>
  <c r="W13" i="66"/>
  <c r="W15" i="66"/>
  <c r="W17" i="66"/>
  <c r="W19" i="66"/>
  <c r="W21" i="66"/>
  <c r="W23" i="66"/>
  <c r="W25" i="66"/>
  <c r="S18" i="66"/>
  <c r="S24" i="66"/>
  <c r="M4" i="66"/>
  <c r="W4" i="66"/>
  <c r="D9" i="66"/>
  <c r="D8" i="66"/>
  <c r="D54" i="66"/>
  <c r="D53" i="66"/>
  <c r="D44" i="66"/>
  <c r="D61" i="66"/>
  <c r="D66" i="66"/>
  <c r="D12" i="66"/>
  <c r="D55" i="66"/>
  <c r="D18" i="66"/>
  <c r="D15" i="66"/>
  <c r="D17" i="66"/>
  <c r="D13" i="66"/>
  <c r="D20" i="66"/>
  <c r="D42" i="66"/>
  <c r="C5" i="66"/>
  <c r="I4" i="66"/>
  <c r="K4" i="66"/>
  <c r="D14" i="66"/>
  <c r="D46" i="66"/>
  <c r="D27" i="66"/>
  <c r="D26" i="66"/>
  <c r="D25" i="66"/>
  <c r="D24" i="66"/>
  <c r="D19" i="66"/>
  <c r="X5" i="66"/>
  <c r="X4" i="66"/>
  <c r="L4" i="66"/>
  <c r="Q68" i="44"/>
  <c r="Q67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3" i="44"/>
  <c r="Q42" i="44"/>
  <c r="Q41" i="44"/>
  <c r="Q40" i="44"/>
  <c r="Q39" i="44"/>
  <c r="Q37" i="44"/>
  <c r="Q36" i="44"/>
  <c r="Q35" i="44"/>
  <c r="Q34" i="44"/>
  <c r="Q33" i="44"/>
  <c r="Q32" i="44"/>
  <c r="Q31" i="44"/>
  <c r="Q30" i="44"/>
  <c r="Q29" i="44"/>
  <c r="Q28" i="44"/>
  <c r="Q27" i="44"/>
  <c r="Q26" i="44"/>
  <c r="Q25" i="44"/>
  <c r="Q23" i="44"/>
  <c r="Q22" i="44"/>
  <c r="Q21" i="44"/>
  <c r="Q20" i="44"/>
  <c r="Q19" i="44"/>
  <c r="Q18" i="44"/>
  <c r="Q17" i="44"/>
  <c r="Q16" i="44"/>
  <c r="Q15" i="44"/>
  <c r="Q14" i="44"/>
  <c r="Q13" i="44"/>
  <c r="Q12" i="44"/>
  <c r="Q11" i="44"/>
  <c r="Q10" i="44"/>
  <c r="Q9" i="44"/>
  <c r="Q8" i="44"/>
  <c r="Q7" i="44"/>
  <c r="Q6" i="44"/>
  <c r="Q5" i="44"/>
  <c r="C4" i="44"/>
  <c r="Q38" i="44"/>
  <c r="C9" i="44"/>
  <c r="D9" i="44"/>
  <c r="D8" i="44"/>
  <c r="E35" i="44"/>
  <c r="E9" i="44"/>
  <c r="E8" i="44"/>
  <c r="M68" i="44"/>
  <c r="E68" i="44"/>
  <c r="D68" i="44"/>
  <c r="C68" i="44"/>
  <c r="B68" i="44"/>
  <c r="A68" i="44"/>
  <c r="M67" i="44"/>
  <c r="E67" i="44"/>
  <c r="D67" i="44"/>
  <c r="C67" i="44"/>
  <c r="B67" i="44"/>
  <c r="A67" i="44"/>
  <c r="M66" i="44"/>
  <c r="E66" i="44"/>
  <c r="C66" i="44"/>
  <c r="B66" i="44"/>
  <c r="A66" i="44"/>
  <c r="M65" i="44"/>
  <c r="E65" i="44"/>
  <c r="D65" i="44"/>
  <c r="C65" i="44"/>
  <c r="B65" i="44"/>
  <c r="A65" i="44"/>
  <c r="M64" i="44"/>
  <c r="E64" i="44"/>
  <c r="D64" i="44"/>
  <c r="C64" i="44"/>
  <c r="B64" i="44"/>
  <c r="A64" i="44"/>
  <c r="M63" i="44"/>
  <c r="E63" i="44"/>
  <c r="D63" i="44"/>
  <c r="A63" i="44"/>
  <c r="M62" i="44"/>
  <c r="E62" i="44"/>
  <c r="D62" i="44"/>
  <c r="C62" i="44"/>
  <c r="M61" i="44"/>
  <c r="E61" i="44"/>
  <c r="C61" i="44"/>
  <c r="B61" i="44"/>
  <c r="A61" i="44"/>
  <c r="M60" i="44"/>
  <c r="E60" i="44"/>
  <c r="D60" i="44"/>
  <c r="C60" i="44"/>
  <c r="B60" i="44"/>
  <c r="A60" i="44"/>
  <c r="M59" i="44"/>
  <c r="E59" i="44"/>
  <c r="D59" i="44"/>
  <c r="C59" i="44"/>
  <c r="B59" i="44"/>
  <c r="A59" i="44"/>
  <c r="M58" i="44"/>
  <c r="E58" i="44"/>
  <c r="D58" i="44"/>
  <c r="C58" i="44"/>
  <c r="B58" i="44"/>
  <c r="A58" i="44"/>
  <c r="M57" i="44"/>
  <c r="E57" i="44"/>
  <c r="D57" i="44"/>
  <c r="A57" i="44"/>
  <c r="M56" i="44"/>
  <c r="E56" i="44"/>
  <c r="D56" i="44"/>
  <c r="C56" i="44"/>
  <c r="M55" i="44"/>
  <c r="E55" i="44"/>
  <c r="C55" i="44"/>
  <c r="B55" i="44"/>
  <c r="A55" i="44"/>
  <c r="M54" i="44"/>
  <c r="E54" i="44"/>
  <c r="C54" i="44"/>
  <c r="B54" i="44"/>
  <c r="A54" i="44"/>
  <c r="M53" i="44"/>
  <c r="E53" i="44"/>
  <c r="C53" i="44"/>
  <c r="B53" i="44"/>
  <c r="A53" i="44"/>
  <c r="M52" i="44"/>
  <c r="E52" i="44"/>
  <c r="D52" i="44"/>
  <c r="B52" i="44"/>
  <c r="A52" i="44"/>
  <c r="M51" i="44"/>
  <c r="E51" i="44"/>
  <c r="D51" i="44"/>
  <c r="M50" i="44"/>
  <c r="E50" i="44"/>
  <c r="D50" i="44"/>
  <c r="M49" i="44"/>
  <c r="E49" i="44"/>
  <c r="D49" i="44"/>
  <c r="C49" i="44"/>
  <c r="B49" i="44"/>
  <c r="A49" i="44"/>
  <c r="M48" i="44"/>
  <c r="E48" i="44"/>
  <c r="D48" i="44"/>
  <c r="C48" i="44"/>
  <c r="B48" i="44"/>
  <c r="A48" i="44"/>
  <c r="M47" i="44"/>
  <c r="E47" i="44"/>
  <c r="D47" i="44"/>
  <c r="C47" i="44"/>
  <c r="B47" i="44"/>
  <c r="A47" i="44"/>
  <c r="M46" i="44"/>
  <c r="E46" i="44"/>
  <c r="C46" i="44"/>
  <c r="B46" i="44"/>
  <c r="A46" i="44"/>
  <c r="M45" i="44"/>
  <c r="E45" i="44"/>
  <c r="D45" i="44"/>
  <c r="C45" i="44"/>
  <c r="B45" i="44"/>
  <c r="A45" i="44"/>
  <c r="M44" i="44"/>
  <c r="E44" i="44"/>
  <c r="C44" i="44"/>
  <c r="B44" i="44"/>
  <c r="A44" i="44"/>
  <c r="M43" i="44"/>
  <c r="E43" i="44"/>
  <c r="C43" i="44"/>
  <c r="B43" i="44"/>
  <c r="A43" i="44"/>
  <c r="M42" i="44"/>
  <c r="E42" i="44"/>
  <c r="C42" i="44"/>
  <c r="B42" i="44"/>
  <c r="A42" i="44"/>
  <c r="M41" i="44"/>
  <c r="E41" i="44"/>
  <c r="D41" i="44"/>
  <c r="B41" i="44"/>
  <c r="A41" i="44"/>
  <c r="M40" i="44"/>
  <c r="E40" i="44"/>
  <c r="D40" i="44"/>
  <c r="M39" i="44"/>
  <c r="E39" i="44"/>
  <c r="D39" i="44"/>
  <c r="C39" i="44"/>
  <c r="B39" i="44"/>
  <c r="A39" i="44"/>
  <c r="M38" i="44"/>
  <c r="B38" i="44"/>
  <c r="A38" i="44"/>
  <c r="M37" i="44"/>
  <c r="E37" i="44"/>
  <c r="D37" i="44"/>
  <c r="C37" i="44"/>
  <c r="B37" i="44"/>
  <c r="A37" i="44"/>
  <c r="M36" i="44"/>
  <c r="E36" i="44"/>
  <c r="D36" i="44"/>
  <c r="C36" i="44"/>
  <c r="B36" i="44"/>
  <c r="A36" i="44"/>
  <c r="M35" i="44"/>
  <c r="D35" i="44"/>
  <c r="C35" i="44"/>
  <c r="B35" i="44"/>
  <c r="A35" i="44"/>
  <c r="M34" i="44"/>
  <c r="E34" i="44"/>
  <c r="D34" i="44"/>
  <c r="C34" i="44"/>
  <c r="B34" i="44"/>
  <c r="A34" i="44"/>
  <c r="M33" i="44"/>
  <c r="E33" i="44"/>
  <c r="D33" i="44"/>
  <c r="C33" i="44"/>
  <c r="B33" i="44"/>
  <c r="A33" i="44"/>
  <c r="M32" i="44"/>
  <c r="E32" i="44"/>
  <c r="D32" i="44"/>
  <c r="M31" i="44"/>
  <c r="E31" i="44"/>
  <c r="D31" i="44"/>
  <c r="C31" i="44"/>
  <c r="B31" i="44"/>
  <c r="A31" i="44"/>
  <c r="M30" i="44"/>
  <c r="E30" i="44"/>
  <c r="D30" i="44"/>
  <c r="C30" i="44"/>
  <c r="B30" i="44"/>
  <c r="A30" i="44"/>
  <c r="M29" i="44"/>
  <c r="E29" i="44"/>
  <c r="D29" i="44"/>
  <c r="C29" i="44"/>
  <c r="B29" i="44"/>
  <c r="A29" i="44"/>
  <c r="M28" i="44"/>
  <c r="E28" i="44"/>
  <c r="C28" i="44"/>
  <c r="B28" i="44"/>
  <c r="A28" i="44"/>
  <c r="M27" i="44"/>
  <c r="E27" i="44"/>
  <c r="C27" i="44"/>
  <c r="B27" i="44"/>
  <c r="A27" i="44"/>
  <c r="M26" i="44"/>
  <c r="E26" i="44"/>
  <c r="C26" i="44"/>
  <c r="B26" i="44"/>
  <c r="A26" i="44"/>
  <c r="M25" i="44"/>
  <c r="E25" i="44"/>
  <c r="C25" i="44"/>
  <c r="B25" i="44"/>
  <c r="A25" i="44"/>
  <c r="B24" i="44"/>
  <c r="A24" i="44"/>
  <c r="M23" i="44"/>
  <c r="M22" i="44"/>
  <c r="E22" i="44"/>
  <c r="D22" i="44"/>
  <c r="C22" i="44"/>
  <c r="B22" i="44"/>
  <c r="A22" i="44"/>
  <c r="M21" i="44"/>
  <c r="E21" i="44"/>
  <c r="D21" i="44"/>
  <c r="C21" i="44"/>
  <c r="B21" i="44"/>
  <c r="A21" i="44"/>
  <c r="M20" i="44"/>
  <c r="E20" i="44"/>
  <c r="C20" i="44"/>
  <c r="B20" i="44"/>
  <c r="A20" i="44"/>
  <c r="M19" i="44"/>
  <c r="E19" i="44"/>
  <c r="C19" i="44"/>
  <c r="B19" i="44"/>
  <c r="A19" i="44"/>
  <c r="M18" i="44"/>
  <c r="E18" i="44"/>
  <c r="C18" i="44"/>
  <c r="B18" i="44"/>
  <c r="A18" i="44"/>
  <c r="M17" i="44"/>
  <c r="E17" i="44"/>
  <c r="C17" i="44"/>
  <c r="B17" i="44"/>
  <c r="A17" i="44"/>
  <c r="M16" i="44"/>
  <c r="D16" i="44"/>
  <c r="M15" i="44"/>
  <c r="E15" i="44"/>
  <c r="C15" i="44"/>
  <c r="B15" i="44"/>
  <c r="A15" i="44"/>
  <c r="M14" i="44"/>
  <c r="E14" i="44"/>
  <c r="C14" i="44"/>
  <c r="B14" i="44"/>
  <c r="A14" i="44"/>
  <c r="M13" i="44"/>
  <c r="E13" i="44"/>
  <c r="C13" i="44"/>
  <c r="B13" i="44"/>
  <c r="A13" i="44"/>
  <c r="M12" i="44"/>
  <c r="E12" i="44"/>
  <c r="C12" i="44"/>
  <c r="B12" i="44"/>
  <c r="A12" i="44"/>
  <c r="M11" i="44"/>
  <c r="D11" i="44"/>
  <c r="B11" i="44"/>
  <c r="A11" i="44"/>
  <c r="M10" i="44"/>
  <c r="D10" i="44"/>
  <c r="B9" i="44"/>
  <c r="A9" i="44"/>
  <c r="C8" i="44"/>
  <c r="B8" i="44"/>
  <c r="A8" i="44"/>
  <c r="M7" i="44"/>
  <c r="E7" i="44"/>
  <c r="C7" i="44"/>
  <c r="B7" i="44"/>
  <c r="A7" i="44"/>
  <c r="M6" i="44"/>
  <c r="E6" i="44"/>
  <c r="C6" i="44"/>
  <c r="B6" i="44"/>
  <c r="A6" i="44"/>
  <c r="M5" i="44"/>
  <c r="B5" i="44"/>
  <c r="A5" i="44"/>
  <c r="B2" i="44"/>
  <c r="D43" i="44"/>
  <c r="M9" i="44"/>
  <c r="M8" i="44"/>
  <c r="Q24" i="44"/>
  <c r="M24" i="44"/>
  <c r="T26" i="44"/>
  <c r="W5" i="44"/>
  <c r="W7" i="44"/>
  <c r="W9" i="44"/>
  <c r="W11" i="44"/>
  <c r="W13" i="44"/>
  <c r="W15" i="44"/>
  <c r="W17" i="44"/>
  <c r="W19" i="44"/>
  <c r="W21" i="44"/>
  <c r="W23" i="44"/>
  <c r="W25" i="44"/>
  <c r="U30" i="44"/>
  <c r="X6" i="44"/>
  <c r="X8" i="44"/>
  <c r="X10" i="44"/>
  <c r="X12" i="44"/>
  <c r="X14" i="44"/>
  <c r="X16" i="44"/>
  <c r="X18" i="44"/>
  <c r="X20" i="44"/>
  <c r="X22" i="44"/>
  <c r="X24" i="44"/>
  <c r="T68" i="44"/>
  <c r="T66" i="44"/>
  <c r="T64" i="44"/>
  <c r="T62" i="44"/>
  <c r="T60" i="44"/>
  <c r="T58" i="44"/>
  <c r="T56" i="44"/>
  <c r="T54" i="44"/>
  <c r="T52" i="44"/>
  <c r="T50" i="44"/>
  <c r="T48" i="44"/>
  <c r="T46" i="44"/>
  <c r="T44" i="44"/>
  <c r="T42" i="44"/>
  <c r="T40" i="44"/>
  <c r="T38" i="44"/>
  <c r="T36" i="44"/>
  <c r="T34" i="44"/>
  <c r="T32" i="44"/>
  <c r="T30" i="44"/>
  <c r="T28" i="44"/>
  <c r="S68" i="44"/>
  <c r="S66" i="44"/>
  <c r="S64" i="44"/>
  <c r="S62" i="44"/>
  <c r="S60" i="44"/>
  <c r="S58" i="44"/>
  <c r="S56" i="44"/>
  <c r="S54" i="44"/>
  <c r="S52" i="44"/>
  <c r="S50" i="44"/>
  <c r="S48" i="44"/>
  <c r="S46" i="44"/>
  <c r="S44" i="44"/>
  <c r="S42" i="44"/>
  <c r="S40" i="44"/>
  <c r="S38" i="44"/>
  <c r="S36" i="44"/>
  <c r="S34" i="44"/>
  <c r="S32" i="44"/>
  <c r="S30" i="44"/>
  <c r="S28" i="44"/>
  <c r="R68" i="44"/>
  <c r="R66" i="44"/>
  <c r="R64" i="44"/>
  <c r="R62" i="44"/>
  <c r="R60" i="44"/>
  <c r="R58" i="44"/>
  <c r="R56" i="44"/>
  <c r="R54" i="44"/>
  <c r="R52" i="44"/>
  <c r="R50" i="44"/>
  <c r="R48" i="44"/>
  <c r="R46" i="44"/>
  <c r="R44" i="44"/>
  <c r="R42" i="44"/>
  <c r="R40" i="44"/>
  <c r="R38" i="44"/>
  <c r="R36" i="44"/>
  <c r="R34" i="44"/>
  <c r="R32" i="44"/>
  <c r="R30" i="44"/>
  <c r="S6" i="44"/>
  <c r="S8" i="44"/>
  <c r="S10" i="44"/>
  <c r="S12" i="44"/>
  <c r="S14" i="44"/>
  <c r="S16" i="44"/>
  <c r="S18" i="44"/>
  <c r="S20" i="44"/>
  <c r="S22" i="44"/>
  <c r="S24" i="44"/>
  <c r="S26" i="44"/>
  <c r="T5" i="44"/>
  <c r="T7" i="44"/>
  <c r="T9" i="44"/>
  <c r="T11" i="44"/>
  <c r="T13" i="44"/>
  <c r="T15" i="44"/>
  <c r="T17" i="44"/>
  <c r="T19" i="44"/>
  <c r="T21" i="44"/>
  <c r="T23" i="44"/>
  <c r="T25" i="44"/>
  <c r="X67" i="44"/>
  <c r="X65" i="44"/>
  <c r="X63" i="44"/>
  <c r="X61" i="44"/>
  <c r="X59" i="44"/>
  <c r="X57" i="44"/>
  <c r="X55" i="44"/>
  <c r="X53" i="44"/>
  <c r="X51" i="44"/>
  <c r="X49" i="44"/>
  <c r="X47" i="44"/>
  <c r="X45" i="44"/>
  <c r="X43" i="44"/>
  <c r="X41" i="44"/>
  <c r="X39" i="44"/>
  <c r="X37" i="44"/>
  <c r="X35" i="44"/>
  <c r="X33" i="44"/>
  <c r="X31" i="44"/>
  <c r="X29" i="44"/>
  <c r="X27" i="44"/>
  <c r="W67" i="44"/>
  <c r="W65" i="44"/>
  <c r="W63" i="44"/>
  <c r="W61" i="44"/>
  <c r="W59" i="44"/>
  <c r="W57" i="44"/>
  <c r="W55" i="44"/>
  <c r="W53" i="44"/>
  <c r="W51" i="44"/>
  <c r="W49" i="44"/>
  <c r="W47" i="44"/>
  <c r="W45" i="44"/>
  <c r="W43" i="44"/>
  <c r="W41" i="44"/>
  <c r="W39" i="44"/>
  <c r="W37" i="44"/>
  <c r="W35" i="44"/>
  <c r="W33" i="44"/>
  <c r="W31" i="44"/>
  <c r="W29" i="44"/>
  <c r="W27" i="44"/>
  <c r="V67" i="44"/>
  <c r="V65" i="44"/>
  <c r="V63" i="44"/>
  <c r="V61" i="44"/>
  <c r="V59" i="44"/>
  <c r="V57" i="44"/>
  <c r="V55" i="44"/>
  <c r="V53" i="44"/>
  <c r="V51" i="44"/>
  <c r="V49" i="44"/>
  <c r="V47" i="44"/>
  <c r="V45" i="44"/>
  <c r="V43" i="44"/>
  <c r="V41" i="44"/>
  <c r="V39" i="44"/>
  <c r="V37" i="44"/>
  <c r="V35" i="44"/>
  <c r="V33" i="44"/>
  <c r="W6" i="44"/>
  <c r="W8" i="44"/>
  <c r="W10" i="44"/>
  <c r="W12" i="44"/>
  <c r="W14" i="44"/>
  <c r="W16" i="44"/>
  <c r="W18" i="44"/>
  <c r="W20" i="44"/>
  <c r="W22" i="44"/>
  <c r="W24" i="44"/>
  <c r="X26" i="44"/>
  <c r="X7" i="44"/>
  <c r="X9" i="44"/>
  <c r="X11" i="44"/>
  <c r="X13" i="44"/>
  <c r="X15" i="44"/>
  <c r="X17" i="44"/>
  <c r="X19" i="44"/>
  <c r="X21" i="44"/>
  <c r="X23" i="44"/>
  <c r="X25" i="44"/>
  <c r="T67" i="44"/>
  <c r="T65" i="44"/>
  <c r="T63" i="44"/>
  <c r="T61" i="44"/>
  <c r="T59" i="44"/>
  <c r="T57" i="44"/>
  <c r="T55" i="44"/>
  <c r="T53" i="44"/>
  <c r="T51" i="44"/>
  <c r="T49" i="44"/>
  <c r="T47" i="44"/>
  <c r="T45" i="44"/>
  <c r="T43" i="44"/>
  <c r="T41" i="44"/>
  <c r="T39" i="44"/>
  <c r="T37" i="44"/>
  <c r="T35" i="44"/>
  <c r="T33" i="44"/>
  <c r="T31" i="44"/>
  <c r="T29" i="44"/>
  <c r="T27" i="44"/>
  <c r="S67" i="44"/>
  <c r="S65" i="44"/>
  <c r="S63" i="44"/>
  <c r="S61" i="44"/>
  <c r="S59" i="44"/>
  <c r="S57" i="44"/>
  <c r="S55" i="44"/>
  <c r="S53" i="44"/>
  <c r="S51" i="44"/>
  <c r="S49" i="44"/>
  <c r="S47" i="44"/>
  <c r="S45" i="44"/>
  <c r="S43" i="44"/>
  <c r="S41" i="44"/>
  <c r="S39" i="44"/>
  <c r="S37" i="44"/>
  <c r="S35" i="44"/>
  <c r="S33" i="44"/>
  <c r="S31" i="44"/>
  <c r="S29" i="44"/>
  <c r="S27" i="44"/>
  <c r="R67" i="44"/>
  <c r="R65" i="44"/>
  <c r="R63" i="44"/>
  <c r="R61" i="44"/>
  <c r="R59" i="44"/>
  <c r="R57" i="44"/>
  <c r="R55" i="44"/>
  <c r="R53" i="44"/>
  <c r="R51" i="44"/>
  <c r="R49" i="44"/>
  <c r="R47" i="44"/>
  <c r="R45" i="44"/>
  <c r="R43" i="44"/>
  <c r="R41" i="44"/>
  <c r="R39" i="44"/>
  <c r="R37" i="44"/>
  <c r="R35" i="44"/>
  <c r="R33" i="44"/>
  <c r="R31" i="44"/>
  <c r="S9" i="44"/>
  <c r="S17" i="44"/>
  <c r="S25" i="44"/>
  <c r="T10" i="44"/>
  <c r="T18" i="44"/>
  <c r="X68" i="44"/>
  <c r="X60" i="44"/>
  <c r="X52" i="44"/>
  <c r="X44" i="44"/>
  <c r="X36" i="44"/>
  <c r="X28" i="44"/>
  <c r="W62" i="44"/>
  <c r="W54" i="44"/>
  <c r="W46" i="44"/>
  <c r="W38" i="44"/>
  <c r="W30" i="44"/>
  <c r="V64" i="44"/>
  <c r="V56" i="44"/>
  <c r="V48" i="44"/>
  <c r="V40" i="44"/>
  <c r="V32" i="44"/>
  <c r="R29" i="44"/>
  <c r="R27" i="44"/>
  <c r="U66" i="44"/>
  <c r="U62" i="44"/>
  <c r="U58" i="44"/>
  <c r="U54" i="44"/>
  <c r="U50" i="44"/>
  <c r="U46" i="44"/>
  <c r="U42" i="44"/>
  <c r="U38" i="44"/>
  <c r="U34" i="44"/>
  <c r="U6" i="44"/>
  <c r="U10" i="44"/>
  <c r="U14" i="44"/>
  <c r="U18" i="44"/>
  <c r="U22" i="44"/>
  <c r="U26" i="44"/>
  <c r="R5" i="44"/>
  <c r="R7" i="44"/>
  <c r="R9" i="44"/>
  <c r="R11" i="44"/>
  <c r="R13" i="44"/>
  <c r="R15" i="44"/>
  <c r="R17" i="44"/>
  <c r="R19" i="44"/>
  <c r="R21" i="44"/>
  <c r="R23" i="44"/>
  <c r="R25" i="44"/>
  <c r="S13" i="44"/>
  <c r="T22" i="44"/>
  <c r="X48" i="44"/>
  <c r="W66" i="44"/>
  <c r="W42" i="44"/>
  <c r="V60" i="44"/>
  <c r="V36" i="44"/>
  <c r="R28" i="44"/>
  <c r="U60" i="44"/>
  <c r="U44" i="44"/>
  <c r="U32" i="44"/>
  <c r="U16" i="44"/>
  <c r="U29" i="44"/>
  <c r="R10" i="44"/>
  <c r="R16" i="44"/>
  <c r="R22" i="44"/>
  <c r="S11" i="44"/>
  <c r="S19" i="44"/>
  <c r="U28" i="44"/>
  <c r="T12" i="44"/>
  <c r="T20" i="44"/>
  <c r="X66" i="44"/>
  <c r="X58" i="44"/>
  <c r="X50" i="44"/>
  <c r="X42" i="44"/>
  <c r="X34" i="44"/>
  <c r="W68" i="44"/>
  <c r="W60" i="44"/>
  <c r="W52" i="44"/>
  <c r="W44" i="44"/>
  <c r="W36" i="44"/>
  <c r="W28" i="44"/>
  <c r="V62" i="44"/>
  <c r="V54" i="44"/>
  <c r="V46" i="44"/>
  <c r="V38" i="44"/>
  <c r="V31" i="44"/>
  <c r="V28" i="44"/>
  <c r="V26" i="44"/>
  <c r="U65" i="44"/>
  <c r="U61" i="44"/>
  <c r="U57" i="44"/>
  <c r="U53" i="44"/>
  <c r="U49" i="44"/>
  <c r="U45" i="44"/>
  <c r="U41" i="44"/>
  <c r="U37" i="44"/>
  <c r="U33" i="44"/>
  <c r="U7" i="44"/>
  <c r="U11" i="44"/>
  <c r="U15" i="44"/>
  <c r="U19" i="44"/>
  <c r="U23" i="44"/>
  <c r="U27" i="44"/>
  <c r="V5" i="44"/>
  <c r="V7" i="44"/>
  <c r="V9" i="44"/>
  <c r="V11" i="44"/>
  <c r="V13" i="44"/>
  <c r="V15" i="44"/>
  <c r="V17" i="44"/>
  <c r="V19" i="44"/>
  <c r="V21" i="44"/>
  <c r="V23" i="44"/>
  <c r="V25" i="44"/>
  <c r="S5" i="44"/>
  <c r="T14" i="44"/>
  <c r="X56" i="44"/>
  <c r="X32" i="44"/>
  <c r="W50" i="44"/>
  <c r="V68" i="44"/>
  <c r="V44" i="44"/>
  <c r="U68" i="44"/>
  <c r="U56" i="44"/>
  <c r="U48" i="44"/>
  <c r="U36" i="44"/>
  <c r="U8" i="44"/>
  <c r="U20" i="44"/>
  <c r="R6" i="44"/>
  <c r="R12" i="44"/>
  <c r="R20" i="44"/>
  <c r="R26" i="44"/>
  <c r="S7" i="44"/>
  <c r="S15" i="44"/>
  <c r="S23" i="44"/>
  <c r="T8" i="44"/>
  <c r="T16" i="44"/>
  <c r="T24" i="44"/>
  <c r="X62" i="44"/>
  <c r="X54" i="44"/>
  <c r="X46" i="44"/>
  <c r="X38" i="44"/>
  <c r="X30" i="44"/>
  <c r="W64" i="44"/>
  <c r="W56" i="44"/>
  <c r="W48" i="44"/>
  <c r="W40" i="44"/>
  <c r="W32" i="44"/>
  <c r="V66" i="44"/>
  <c r="V58" i="44"/>
  <c r="V50" i="44"/>
  <c r="V42" i="44"/>
  <c r="V34" i="44"/>
  <c r="V29" i="44"/>
  <c r="V27" i="44"/>
  <c r="U67" i="44"/>
  <c r="U63" i="44"/>
  <c r="U59" i="44"/>
  <c r="U55" i="44"/>
  <c r="U51" i="44"/>
  <c r="U47" i="44"/>
  <c r="U43" i="44"/>
  <c r="U39" i="44"/>
  <c r="U35" i="44"/>
  <c r="U5" i="44"/>
  <c r="U9" i="44"/>
  <c r="U13" i="44"/>
  <c r="U17" i="44"/>
  <c r="U21" i="44"/>
  <c r="U25" i="44"/>
  <c r="U31" i="44"/>
  <c r="V6" i="44"/>
  <c r="V8" i="44"/>
  <c r="V10" i="44"/>
  <c r="V12" i="44"/>
  <c r="V14" i="44"/>
  <c r="V16" i="44"/>
  <c r="V18" i="44"/>
  <c r="V20" i="44"/>
  <c r="V22" i="44"/>
  <c r="V24" i="44"/>
  <c r="W26" i="44"/>
  <c r="S21" i="44"/>
  <c r="T6" i="44"/>
  <c r="X64" i="44"/>
  <c r="X40" i="44"/>
  <c r="W58" i="44"/>
  <c r="W34" i="44"/>
  <c r="V52" i="44"/>
  <c r="V30" i="44"/>
  <c r="U64" i="44"/>
  <c r="U52" i="44"/>
  <c r="U40" i="44"/>
  <c r="U12" i="44"/>
  <c r="U24" i="44"/>
  <c r="R8" i="44"/>
  <c r="R14" i="44"/>
  <c r="R18" i="44"/>
  <c r="R24" i="44"/>
  <c r="M4" i="44"/>
  <c r="W4" i="44"/>
  <c r="D6" i="44"/>
  <c r="D7" i="44"/>
  <c r="D54" i="44"/>
  <c r="D53" i="44"/>
  <c r="D44" i="44"/>
  <c r="D61" i="44"/>
  <c r="D66" i="44"/>
  <c r="D12" i="44"/>
  <c r="D55" i="44"/>
  <c r="D18" i="44"/>
  <c r="D15" i="44"/>
  <c r="D17" i="44"/>
  <c r="D13" i="44"/>
  <c r="D20" i="44"/>
  <c r="D42" i="44"/>
  <c r="C5" i="44"/>
  <c r="I4" i="44"/>
  <c r="D14" i="44"/>
  <c r="D46" i="44"/>
  <c r="D28" i="44"/>
  <c r="D27" i="44"/>
  <c r="D26" i="44"/>
  <c r="D25" i="44"/>
  <c r="D19" i="44"/>
  <c r="K4" i="44"/>
  <c r="X5" i="44"/>
  <c r="X4" i="44"/>
  <c r="L4" i="44"/>
  <c r="Q68" i="45"/>
  <c r="Q67" i="45"/>
  <c r="Q66" i="45"/>
  <c r="Q65" i="45"/>
  <c r="Q64" i="45"/>
  <c r="Q63" i="45"/>
  <c r="Q62" i="45"/>
  <c r="Q61" i="45"/>
  <c r="Q60" i="45"/>
  <c r="Q59" i="45"/>
  <c r="Q58" i="45"/>
  <c r="Q57" i="45"/>
  <c r="Q56" i="45"/>
  <c r="Q55" i="45"/>
  <c r="Q54" i="45"/>
  <c r="Q53" i="45"/>
  <c r="Q52" i="45"/>
  <c r="Q51" i="45"/>
  <c r="Q50" i="45"/>
  <c r="Q49" i="45"/>
  <c r="Q48" i="45"/>
  <c r="Q47" i="45"/>
  <c r="Q46" i="45"/>
  <c r="Q45" i="45"/>
  <c r="Q44" i="45"/>
  <c r="Q43" i="45"/>
  <c r="Q42" i="45"/>
  <c r="Q41" i="45"/>
  <c r="Q40" i="45"/>
  <c r="Q39" i="45"/>
  <c r="Q38" i="45"/>
  <c r="Q37" i="45"/>
  <c r="Q36" i="45"/>
  <c r="Q35" i="45"/>
  <c r="Q34" i="45"/>
  <c r="Q33" i="45"/>
  <c r="Q32" i="45"/>
  <c r="Q31" i="45"/>
  <c r="Q30" i="45"/>
  <c r="Q29" i="45"/>
  <c r="Q28" i="45"/>
  <c r="Q27" i="45"/>
  <c r="Q26" i="45"/>
  <c r="Q24" i="45"/>
  <c r="Q23" i="45"/>
  <c r="Q22" i="45"/>
  <c r="Q21" i="45"/>
  <c r="Q20" i="45"/>
  <c r="Q19" i="45"/>
  <c r="Q18" i="45"/>
  <c r="Q17" i="45"/>
  <c r="Q16" i="45"/>
  <c r="Q15" i="45"/>
  <c r="Q14" i="45"/>
  <c r="Q13" i="45"/>
  <c r="Q12" i="45"/>
  <c r="Q11" i="45"/>
  <c r="Q10" i="45"/>
  <c r="Q7" i="45"/>
  <c r="Q6" i="45"/>
  <c r="Q5" i="45"/>
  <c r="M68" i="45"/>
  <c r="E68" i="45"/>
  <c r="D68" i="45"/>
  <c r="C68" i="45"/>
  <c r="B68" i="45"/>
  <c r="A68" i="45"/>
  <c r="M67" i="45"/>
  <c r="E67" i="45"/>
  <c r="D67" i="45"/>
  <c r="C67" i="45"/>
  <c r="B67" i="45"/>
  <c r="A67" i="45"/>
  <c r="M66" i="45"/>
  <c r="E66" i="45"/>
  <c r="C66" i="45"/>
  <c r="B66" i="45"/>
  <c r="A66" i="45"/>
  <c r="M65" i="45"/>
  <c r="E65" i="45"/>
  <c r="D65" i="45"/>
  <c r="C65" i="45"/>
  <c r="B65" i="45"/>
  <c r="A65" i="45"/>
  <c r="M64" i="45"/>
  <c r="E64" i="45"/>
  <c r="D64" i="45"/>
  <c r="C64" i="45"/>
  <c r="B64" i="45"/>
  <c r="A64" i="45"/>
  <c r="M63" i="45"/>
  <c r="E63" i="45"/>
  <c r="D63" i="45"/>
  <c r="A63" i="45"/>
  <c r="M62" i="45"/>
  <c r="E62" i="45"/>
  <c r="D62" i="45"/>
  <c r="C62" i="45"/>
  <c r="M61" i="45"/>
  <c r="E61" i="45"/>
  <c r="C61" i="45"/>
  <c r="B61" i="45"/>
  <c r="A61" i="45"/>
  <c r="M60" i="45"/>
  <c r="E60" i="45"/>
  <c r="D60" i="45"/>
  <c r="C60" i="45"/>
  <c r="B60" i="45"/>
  <c r="A60" i="45"/>
  <c r="M59" i="45"/>
  <c r="E59" i="45"/>
  <c r="D59" i="45"/>
  <c r="C59" i="45"/>
  <c r="B59" i="45"/>
  <c r="A59" i="45"/>
  <c r="M58" i="45"/>
  <c r="E58" i="45"/>
  <c r="D58" i="45"/>
  <c r="C58" i="45"/>
  <c r="B58" i="45"/>
  <c r="A58" i="45"/>
  <c r="M57" i="45"/>
  <c r="E57" i="45"/>
  <c r="D57" i="45"/>
  <c r="A57" i="45"/>
  <c r="M56" i="45"/>
  <c r="E56" i="45"/>
  <c r="D56" i="45"/>
  <c r="C56" i="45"/>
  <c r="M55" i="45"/>
  <c r="E55" i="45"/>
  <c r="C55" i="45"/>
  <c r="B55" i="45"/>
  <c r="A55" i="45"/>
  <c r="M54" i="45"/>
  <c r="E54" i="45"/>
  <c r="C54" i="45"/>
  <c r="B54" i="45"/>
  <c r="A54" i="45"/>
  <c r="M53" i="45"/>
  <c r="E53" i="45"/>
  <c r="C53" i="45"/>
  <c r="B53" i="45"/>
  <c r="A53" i="45"/>
  <c r="M52" i="45"/>
  <c r="E52" i="45"/>
  <c r="D52" i="45"/>
  <c r="B52" i="45"/>
  <c r="A52" i="45"/>
  <c r="M51" i="45"/>
  <c r="E51" i="45"/>
  <c r="D51" i="45"/>
  <c r="M50" i="45"/>
  <c r="E50" i="45"/>
  <c r="D50" i="45"/>
  <c r="M49" i="45"/>
  <c r="E49" i="45"/>
  <c r="D49" i="45"/>
  <c r="C49" i="45"/>
  <c r="B49" i="45"/>
  <c r="A49" i="45"/>
  <c r="M48" i="45"/>
  <c r="E48" i="45"/>
  <c r="D48" i="45"/>
  <c r="C48" i="45"/>
  <c r="B48" i="45"/>
  <c r="A48" i="45"/>
  <c r="M47" i="45"/>
  <c r="E47" i="45"/>
  <c r="D47" i="45"/>
  <c r="C47" i="45"/>
  <c r="B47" i="45"/>
  <c r="A47" i="45"/>
  <c r="M46" i="45"/>
  <c r="E46" i="45"/>
  <c r="C46" i="45"/>
  <c r="B46" i="45"/>
  <c r="A46" i="45"/>
  <c r="M45" i="45"/>
  <c r="E45" i="45"/>
  <c r="D45" i="45"/>
  <c r="C45" i="45"/>
  <c r="B45" i="45"/>
  <c r="A45" i="45"/>
  <c r="M44" i="45"/>
  <c r="E44" i="45"/>
  <c r="C44" i="45"/>
  <c r="B44" i="45"/>
  <c r="A44" i="45"/>
  <c r="M43" i="45"/>
  <c r="E43" i="45"/>
  <c r="C43" i="45"/>
  <c r="B43" i="45"/>
  <c r="A43" i="45"/>
  <c r="M42" i="45"/>
  <c r="E42" i="45"/>
  <c r="C42" i="45"/>
  <c r="B42" i="45"/>
  <c r="A42" i="45"/>
  <c r="M41" i="45"/>
  <c r="E41" i="45"/>
  <c r="D41" i="45"/>
  <c r="B41" i="45"/>
  <c r="A41" i="45"/>
  <c r="M40" i="45"/>
  <c r="E40" i="45"/>
  <c r="D40" i="45"/>
  <c r="M39" i="45"/>
  <c r="E39" i="45"/>
  <c r="D39" i="45"/>
  <c r="C39" i="45"/>
  <c r="B39" i="45"/>
  <c r="A39" i="45"/>
  <c r="M38" i="45"/>
  <c r="E38" i="45"/>
  <c r="D38" i="45"/>
  <c r="C38" i="45"/>
  <c r="B38" i="45"/>
  <c r="A38" i="45"/>
  <c r="M37" i="45"/>
  <c r="E37" i="45"/>
  <c r="D37" i="45"/>
  <c r="C37" i="45"/>
  <c r="B37" i="45"/>
  <c r="A37" i="45"/>
  <c r="M36" i="45"/>
  <c r="E36" i="45"/>
  <c r="D36" i="45"/>
  <c r="C36" i="45"/>
  <c r="B36" i="45"/>
  <c r="A36" i="45"/>
  <c r="M35" i="45"/>
  <c r="E35" i="45"/>
  <c r="D35" i="45"/>
  <c r="C35" i="45"/>
  <c r="B35" i="45"/>
  <c r="A35" i="45"/>
  <c r="M34" i="45"/>
  <c r="E34" i="45"/>
  <c r="D34" i="45"/>
  <c r="C34" i="45"/>
  <c r="B34" i="45"/>
  <c r="A34" i="45"/>
  <c r="M33" i="45"/>
  <c r="E33" i="45"/>
  <c r="D33" i="45"/>
  <c r="C33" i="45"/>
  <c r="B33" i="45"/>
  <c r="A33" i="45"/>
  <c r="M32" i="45"/>
  <c r="E32" i="45"/>
  <c r="D32" i="45"/>
  <c r="M31" i="45"/>
  <c r="E31" i="45"/>
  <c r="D31" i="45"/>
  <c r="C31" i="45"/>
  <c r="B31" i="45"/>
  <c r="A31" i="45"/>
  <c r="M30" i="45"/>
  <c r="E30" i="45"/>
  <c r="D30" i="45"/>
  <c r="C30" i="45"/>
  <c r="B30" i="45"/>
  <c r="A30" i="45"/>
  <c r="M29" i="45"/>
  <c r="E29" i="45"/>
  <c r="D29" i="45"/>
  <c r="C29" i="45"/>
  <c r="B29" i="45"/>
  <c r="A29" i="45"/>
  <c r="M28" i="45"/>
  <c r="E28" i="45"/>
  <c r="C28" i="45"/>
  <c r="B28" i="45"/>
  <c r="A28" i="45"/>
  <c r="M27" i="45"/>
  <c r="E27" i="45"/>
  <c r="C27" i="45"/>
  <c r="B27" i="45"/>
  <c r="A27" i="45"/>
  <c r="M26" i="45"/>
  <c r="E26" i="45"/>
  <c r="C26" i="45"/>
  <c r="B26" i="45"/>
  <c r="A26" i="45"/>
  <c r="B25" i="45"/>
  <c r="A25" i="45"/>
  <c r="E24" i="45"/>
  <c r="C24" i="45"/>
  <c r="M24" i="45"/>
  <c r="B24" i="45"/>
  <c r="A24" i="45"/>
  <c r="M23" i="45"/>
  <c r="M22" i="45"/>
  <c r="E22" i="45"/>
  <c r="D22" i="45"/>
  <c r="C22" i="45"/>
  <c r="B22" i="45"/>
  <c r="A22" i="45"/>
  <c r="M21" i="45"/>
  <c r="E21" i="45"/>
  <c r="D21" i="45"/>
  <c r="C21" i="45"/>
  <c r="B21" i="45"/>
  <c r="A21" i="45"/>
  <c r="M20" i="45"/>
  <c r="E20" i="45"/>
  <c r="C20" i="45"/>
  <c r="B20" i="45"/>
  <c r="A20" i="45"/>
  <c r="M19" i="45"/>
  <c r="E19" i="45"/>
  <c r="C19" i="45"/>
  <c r="B19" i="45"/>
  <c r="A19" i="45"/>
  <c r="M18" i="45"/>
  <c r="E18" i="45"/>
  <c r="C18" i="45"/>
  <c r="B18" i="45"/>
  <c r="A18" i="45"/>
  <c r="M17" i="45"/>
  <c r="E17" i="45"/>
  <c r="C17" i="45"/>
  <c r="B17" i="45"/>
  <c r="A17" i="45"/>
  <c r="M16" i="45"/>
  <c r="D16" i="45"/>
  <c r="M15" i="45"/>
  <c r="E15" i="45"/>
  <c r="C15" i="45"/>
  <c r="B15" i="45"/>
  <c r="A15" i="45"/>
  <c r="M14" i="45"/>
  <c r="E14" i="45"/>
  <c r="C14" i="45"/>
  <c r="B14" i="45"/>
  <c r="A14" i="45"/>
  <c r="M13" i="45"/>
  <c r="E13" i="45"/>
  <c r="C13" i="45"/>
  <c r="B13" i="45"/>
  <c r="A13" i="45"/>
  <c r="M12" i="45"/>
  <c r="E12" i="45"/>
  <c r="C12" i="45"/>
  <c r="B12" i="45"/>
  <c r="A12" i="45"/>
  <c r="M11" i="45"/>
  <c r="D11" i="45"/>
  <c r="B11" i="45"/>
  <c r="A11" i="45"/>
  <c r="M10" i="45"/>
  <c r="D10" i="45"/>
  <c r="B9" i="45"/>
  <c r="A9" i="45"/>
  <c r="B8" i="45"/>
  <c r="A8" i="45"/>
  <c r="M7" i="45"/>
  <c r="E7" i="45"/>
  <c r="C7" i="45"/>
  <c r="B7" i="45"/>
  <c r="A7" i="45"/>
  <c r="M6" i="45"/>
  <c r="E6" i="45"/>
  <c r="C6" i="45"/>
  <c r="B6" i="45"/>
  <c r="A6" i="45"/>
  <c r="M5" i="45"/>
  <c r="B5" i="45"/>
  <c r="A5" i="45"/>
  <c r="B2" i="45"/>
  <c r="D43" i="45"/>
  <c r="C4" i="45"/>
  <c r="M8" i="45"/>
  <c r="Q8" i="45"/>
  <c r="M25" i="45"/>
  <c r="Q25" i="45"/>
  <c r="M9" i="45"/>
  <c r="Q9" i="45"/>
  <c r="T33" i="45"/>
  <c r="U6" i="45"/>
  <c r="U12" i="45"/>
  <c r="U26" i="45"/>
  <c r="X5" i="45"/>
  <c r="X9" i="45"/>
  <c r="X11" i="45"/>
  <c r="X13" i="45"/>
  <c r="X15" i="45"/>
  <c r="X17" i="45"/>
  <c r="X19" i="45"/>
  <c r="X21" i="45"/>
  <c r="X23" i="45"/>
  <c r="X25" i="45"/>
  <c r="T29" i="45"/>
  <c r="X68" i="45"/>
  <c r="X66" i="45"/>
  <c r="X64" i="45"/>
  <c r="X62" i="45"/>
  <c r="X60" i="45"/>
  <c r="X58" i="45"/>
  <c r="X56" i="45"/>
  <c r="X54" i="45"/>
  <c r="X52" i="45"/>
  <c r="X50" i="45"/>
  <c r="X48" i="45"/>
  <c r="X46" i="45"/>
  <c r="X44" i="45"/>
  <c r="X42" i="45"/>
  <c r="X40" i="45"/>
  <c r="X38" i="45"/>
  <c r="X36" i="45"/>
  <c r="X34" i="45"/>
  <c r="S68" i="45"/>
  <c r="S66" i="45"/>
  <c r="S64" i="45"/>
  <c r="S62" i="45"/>
  <c r="S60" i="45"/>
  <c r="S58" i="45"/>
  <c r="S56" i="45"/>
  <c r="S54" i="45"/>
  <c r="S52" i="45"/>
  <c r="S50" i="45"/>
  <c r="S48" i="45"/>
  <c r="S46" i="45"/>
  <c r="S44" i="45"/>
  <c r="S42" i="45"/>
  <c r="S40" i="45"/>
  <c r="S38" i="45"/>
  <c r="S36" i="45"/>
  <c r="S34" i="45"/>
  <c r="S32" i="45"/>
  <c r="S30" i="45"/>
  <c r="S28" i="45"/>
  <c r="V68" i="45"/>
  <c r="V66" i="45"/>
  <c r="V64" i="45"/>
  <c r="V62" i="45"/>
  <c r="V60" i="45"/>
  <c r="V58" i="45"/>
  <c r="V56" i="45"/>
  <c r="V54" i="45"/>
  <c r="V52" i="45"/>
  <c r="V50" i="45"/>
  <c r="V48" i="45"/>
  <c r="V46" i="45"/>
  <c r="V44" i="45"/>
  <c r="V42" i="45"/>
  <c r="V40" i="45"/>
  <c r="V38" i="45"/>
  <c r="V36" i="45"/>
  <c r="V34" i="45"/>
  <c r="V32" i="45"/>
  <c r="V30" i="45"/>
  <c r="V28" i="45"/>
  <c r="V26" i="45"/>
  <c r="U65" i="45"/>
  <c r="U61" i="45"/>
  <c r="U57" i="45"/>
  <c r="U53" i="45"/>
  <c r="U49" i="45"/>
  <c r="U45" i="45"/>
  <c r="U41" i="45"/>
  <c r="U37" i="45"/>
  <c r="U7" i="45"/>
  <c r="U13" i="45"/>
  <c r="U29" i="45"/>
  <c r="T6" i="45"/>
  <c r="T8" i="45"/>
  <c r="T10" i="45"/>
  <c r="T12" i="45"/>
  <c r="T14" i="45"/>
  <c r="T16" i="45"/>
  <c r="T18" i="45"/>
  <c r="T20" i="45"/>
  <c r="T22" i="45"/>
  <c r="T24" i="45"/>
  <c r="T26" i="45"/>
  <c r="T30" i="45"/>
  <c r="T68" i="45"/>
  <c r="T66" i="45"/>
  <c r="T64" i="45"/>
  <c r="T62" i="45"/>
  <c r="T60" i="45"/>
  <c r="T58" i="45"/>
  <c r="T56" i="45"/>
  <c r="T54" i="45"/>
  <c r="T52" i="45"/>
  <c r="T50" i="45"/>
  <c r="T48" i="45"/>
  <c r="T46" i="45"/>
  <c r="T44" i="45"/>
  <c r="T42" i="45"/>
  <c r="T40" i="45"/>
  <c r="T38" i="45"/>
  <c r="T36" i="45"/>
  <c r="T34" i="45"/>
  <c r="W67" i="45"/>
  <c r="W65" i="45"/>
  <c r="W63" i="45"/>
  <c r="W61" i="45"/>
  <c r="W59" i="45"/>
  <c r="W57" i="45"/>
  <c r="W55" i="45"/>
  <c r="W53" i="45"/>
  <c r="W51" i="45"/>
  <c r="W49" i="45"/>
  <c r="W47" i="45"/>
  <c r="W45" i="45"/>
  <c r="W43" i="45"/>
  <c r="W41" i="45"/>
  <c r="W39" i="45"/>
  <c r="W37" i="45"/>
  <c r="W35" i="45"/>
  <c r="W33" i="45"/>
  <c r="W31" i="45"/>
  <c r="W29" i="45"/>
  <c r="W27" i="45"/>
  <c r="R68" i="45"/>
  <c r="R66" i="45"/>
  <c r="R64" i="45"/>
  <c r="R62" i="45"/>
  <c r="R60" i="45"/>
  <c r="R58" i="45"/>
  <c r="R56" i="45"/>
  <c r="R54" i="45"/>
  <c r="R52" i="45"/>
  <c r="R50" i="45"/>
  <c r="R48" i="45"/>
  <c r="R46" i="45"/>
  <c r="R44" i="45"/>
  <c r="R42" i="45"/>
  <c r="R40" i="45"/>
  <c r="R38" i="45"/>
  <c r="R36" i="45"/>
  <c r="R34" i="45"/>
  <c r="R32" i="45"/>
  <c r="R30" i="45"/>
  <c r="R28" i="45"/>
  <c r="U68" i="45"/>
  <c r="U8" i="45"/>
  <c r="U16" i="45"/>
  <c r="R14" i="45"/>
  <c r="X6" i="45"/>
  <c r="X8" i="45"/>
  <c r="X10" i="45"/>
  <c r="X12" i="45"/>
  <c r="X14" i="45"/>
  <c r="X16" i="45"/>
  <c r="X18" i="45"/>
  <c r="X20" i="45"/>
  <c r="X22" i="45"/>
  <c r="X24" i="45"/>
  <c r="T27" i="45"/>
  <c r="T31" i="45"/>
  <c r="X67" i="45"/>
  <c r="X65" i="45"/>
  <c r="X63" i="45"/>
  <c r="X61" i="45"/>
  <c r="X59" i="45"/>
  <c r="X57" i="45"/>
  <c r="X55" i="45"/>
  <c r="X53" i="45"/>
  <c r="X51" i="45"/>
  <c r="X49" i="45"/>
  <c r="X47" i="45"/>
  <c r="X45" i="45"/>
  <c r="X43" i="45"/>
  <c r="X41" i="45"/>
  <c r="X39" i="45"/>
  <c r="X37" i="45"/>
  <c r="X35" i="45"/>
  <c r="X33" i="45"/>
  <c r="S67" i="45"/>
  <c r="S65" i="45"/>
  <c r="S63" i="45"/>
  <c r="S61" i="45"/>
  <c r="S59" i="45"/>
  <c r="S57" i="45"/>
  <c r="S55" i="45"/>
  <c r="S53" i="45"/>
  <c r="S51" i="45"/>
  <c r="S49" i="45"/>
  <c r="S47" i="45"/>
  <c r="S45" i="45"/>
  <c r="S43" i="45"/>
  <c r="S41" i="45"/>
  <c r="S39" i="45"/>
  <c r="S37" i="45"/>
  <c r="S35" i="45"/>
  <c r="S33" i="45"/>
  <c r="S31" i="45"/>
  <c r="S29" i="45"/>
  <c r="S27" i="45"/>
  <c r="V67" i="45"/>
  <c r="V65" i="45"/>
  <c r="V63" i="45"/>
  <c r="V61" i="45"/>
  <c r="V59" i="45"/>
  <c r="V57" i="45"/>
  <c r="V55" i="45"/>
  <c r="V53" i="45"/>
  <c r="V51" i="45"/>
  <c r="V49" i="45"/>
  <c r="V47" i="45"/>
  <c r="V45" i="45"/>
  <c r="V43" i="45"/>
  <c r="V41" i="45"/>
  <c r="V39" i="45"/>
  <c r="V37" i="45"/>
  <c r="V35" i="45"/>
  <c r="V33" i="45"/>
  <c r="V31" i="45"/>
  <c r="V29" i="45"/>
  <c r="V27" i="45"/>
  <c r="U9" i="45"/>
  <c r="U19" i="45"/>
  <c r="T5" i="45"/>
  <c r="T7" i="45"/>
  <c r="T9" i="45"/>
  <c r="T11" i="45"/>
  <c r="T13" i="45"/>
  <c r="T15" i="45"/>
  <c r="T17" i="45"/>
  <c r="T19" i="45"/>
  <c r="T21" i="45"/>
  <c r="T23" i="45"/>
  <c r="T25" i="45"/>
  <c r="T28" i="45"/>
  <c r="T32" i="45"/>
  <c r="T67" i="45"/>
  <c r="T65" i="45"/>
  <c r="T63" i="45"/>
  <c r="T61" i="45"/>
  <c r="T59" i="45"/>
  <c r="T57" i="45"/>
  <c r="T55" i="45"/>
  <c r="T53" i="45"/>
  <c r="T51" i="45"/>
  <c r="T49" i="45"/>
  <c r="T47" i="45"/>
  <c r="T45" i="45"/>
  <c r="T43" i="45"/>
  <c r="T41" i="45"/>
  <c r="T39" i="45"/>
  <c r="T37" i="45"/>
  <c r="T35" i="45"/>
  <c r="W68" i="45"/>
  <c r="W66" i="45"/>
  <c r="W64" i="45"/>
  <c r="W62" i="45"/>
  <c r="W60" i="45"/>
  <c r="W58" i="45"/>
  <c r="W56" i="45"/>
  <c r="W54" i="45"/>
  <c r="W52" i="45"/>
  <c r="W50" i="45"/>
  <c r="W48" i="45"/>
  <c r="W46" i="45"/>
  <c r="W44" i="45"/>
  <c r="W42" i="45"/>
  <c r="W40" i="45"/>
  <c r="W38" i="45"/>
  <c r="W36" i="45"/>
  <c r="W34" i="45"/>
  <c r="W32" i="45"/>
  <c r="W30" i="45"/>
  <c r="W28" i="45"/>
  <c r="W26" i="45"/>
  <c r="R67" i="45"/>
  <c r="R65" i="45"/>
  <c r="R63" i="45"/>
  <c r="R61" i="45"/>
  <c r="R59" i="45"/>
  <c r="R57" i="45"/>
  <c r="R55" i="45"/>
  <c r="R53" i="45"/>
  <c r="R51" i="45"/>
  <c r="R49" i="45"/>
  <c r="R47" i="45"/>
  <c r="R45" i="45"/>
  <c r="R43" i="45"/>
  <c r="R41" i="45"/>
  <c r="R39" i="45"/>
  <c r="R37" i="45"/>
  <c r="R35" i="45"/>
  <c r="R33" i="45"/>
  <c r="R31" i="45"/>
  <c r="R29" i="45"/>
  <c r="R27" i="45"/>
  <c r="U66" i="45"/>
  <c r="U64" i="45"/>
  <c r="U59" i="45"/>
  <c r="U54" i="45"/>
  <c r="U48" i="45"/>
  <c r="U43" i="45"/>
  <c r="U38" i="45"/>
  <c r="U33" i="45"/>
  <c r="R5" i="45"/>
  <c r="R7" i="45"/>
  <c r="R9" i="45"/>
  <c r="R11" i="45"/>
  <c r="R13" i="45"/>
  <c r="R16" i="45"/>
  <c r="R18" i="45"/>
  <c r="R20" i="45"/>
  <c r="R22" i="45"/>
  <c r="R24" i="45"/>
  <c r="R26" i="45"/>
  <c r="X29" i="45"/>
  <c r="U5" i="45"/>
  <c r="U18" i="45"/>
  <c r="U23" i="45"/>
  <c r="U30" i="45"/>
  <c r="S5" i="45"/>
  <c r="S7" i="45"/>
  <c r="S11" i="45"/>
  <c r="S13" i="45"/>
  <c r="S15" i="45"/>
  <c r="S19" i="45"/>
  <c r="S23" i="45"/>
  <c r="S25" i="45"/>
  <c r="U63" i="45"/>
  <c r="U58" i="45"/>
  <c r="U52" i="45"/>
  <c r="U47" i="45"/>
  <c r="U42" i="45"/>
  <c r="U36" i="45"/>
  <c r="U10" i="45"/>
  <c r="V5" i="45"/>
  <c r="V7" i="45"/>
  <c r="V9" i="45"/>
  <c r="V11" i="45"/>
  <c r="V14" i="45"/>
  <c r="V16" i="45"/>
  <c r="V18" i="45"/>
  <c r="V20" i="45"/>
  <c r="V22" i="45"/>
  <c r="V24" i="45"/>
  <c r="X26" i="45"/>
  <c r="X30" i="45"/>
  <c r="U11" i="45"/>
  <c r="U20" i="45"/>
  <c r="U24" i="45"/>
  <c r="U31" i="45"/>
  <c r="W5" i="45"/>
  <c r="W7" i="45"/>
  <c r="W9" i="45"/>
  <c r="W11" i="45"/>
  <c r="W13" i="45"/>
  <c r="W15" i="45"/>
  <c r="W17" i="45"/>
  <c r="W19" i="45"/>
  <c r="W21" i="45"/>
  <c r="W23" i="45"/>
  <c r="W25" i="45"/>
  <c r="U62" i="45"/>
  <c r="U56" i="45"/>
  <c r="U51" i="45"/>
  <c r="U46" i="45"/>
  <c r="U40" i="45"/>
  <c r="U35" i="45"/>
  <c r="U15" i="45"/>
  <c r="R6" i="45"/>
  <c r="R8" i="45"/>
  <c r="R10" i="45"/>
  <c r="R12" i="45"/>
  <c r="R15" i="45"/>
  <c r="R17" i="45"/>
  <c r="R19" i="45"/>
  <c r="R21" i="45"/>
  <c r="R23" i="45"/>
  <c r="R25" i="45"/>
  <c r="X27" i="45"/>
  <c r="X31" i="45"/>
  <c r="U14" i="45"/>
  <c r="U21" i="45"/>
  <c r="U27" i="45"/>
  <c r="U32" i="45"/>
  <c r="S6" i="45"/>
  <c r="S8" i="45"/>
  <c r="S10" i="45"/>
  <c r="S12" i="45"/>
  <c r="S14" i="45"/>
  <c r="S16" i="45"/>
  <c r="S18" i="45"/>
  <c r="S20" i="45"/>
  <c r="S22" i="45"/>
  <c r="S24" i="45"/>
  <c r="S26" i="45"/>
  <c r="U67" i="45"/>
  <c r="U60" i="45"/>
  <c r="U55" i="45"/>
  <c r="U50" i="45"/>
  <c r="U44" i="45"/>
  <c r="U39" i="45"/>
  <c r="U34" i="45"/>
  <c r="U25" i="45"/>
  <c r="V6" i="45"/>
  <c r="V8" i="45"/>
  <c r="V10" i="45"/>
  <c r="V12" i="45"/>
  <c r="V15" i="45"/>
  <c r="V17" i="45"/>
  <c r="V19" i="45"/>
  <c r="V21" i="45"/>
  <c r="V23" i="45"/>
  <c r="V25" i="45"/>
  <c r="X28" i="45"/>
  <c r="X32" i="45"/>
  <c r="U17" i="45"/>
  <c r="U22" i="45"/>
  <c r="U28" i="45"/>
  <c r="V13" i="45"/>
  <c r="W6" i="45"/>
  <c r="W8" i="45"/>
  <c r="W10" i="45"/>
  <c r="W12" i="45"/>
  <c r="W14" i="45"/>
  <c r="W16" i="45"/>
  <c r="W18" i="45"/>
  <c r="W20" i="45"/>
  <c r="W22" i="45"/>
  <c r="W24" i="45"/>
  <c r="S9" i="45"/>
  <c r="S17" i="45"/>
  <c r="S21" i="45"/>
  <c r="M4" i="45"/>
  <c r="W4" i="45"/>
  <c r="D6" i="45"/>
  <c r="D7" i="45"/>
  <c r="D54" i="45"/>
  <c r="D53" i="45"/>
  <c r="D44" i="45"/>
  <c r="D61" i="45"/>
  <c r="D66" i="45"/>
  <c r="D12" i="45"/>
  <c r="D55" i="45"/>
  <c r="D18" i="45"/>
  <c r="D15" i="45"/>
  <c r="D17" i="45"/>
  <c r="D13" i="45"/>
  <c r="D20" i="45"/>
  <c r="D42" i="45"/>
  <c r="C5" i="45"/>
  <c r="I4" i="45"/>
  <c r="K4" i="45"/>
  <c r="D14" i="45"/>
  <c r="D46" i="45"/>
  <c r="D28" i="45"/>
  <c r="D27" i="45"/>
  <c r="D26" i="45"/>
  <c r="D24" i="45"/>
  <c r="D19" i="45"/>
  <c r="L4" i="45"/>
  <c r="X7" i="45"/>
  <c r="X4" i="45"/>
  <c r="Q68" i="64"/>
  <c r="Q67" i="64"/>
  <c r="Q66" i="64"/>
  <c r="Q65" i="64"/>
  <c r="Q64" i="64"/>
  <c r="Q63" i="64"/>
  <c r="Q62" i="64"/>
  <c r="Q61" i="64"/>
  <c r="Q60" i="64"/>
  <c r="Q59" i="64"/>
  <c r="Q58" i="64"/>
  <c r="Q57" i="64"/>
  <c r="Q56" i="64"/>
  <c r="Q55" i="64"/>
  <c r="Q54" i="64"/>
  <c r="Q53" i="64"/>
  <c r="Q52" i="64"/>
  <c r="Q51" i="64"/>
  <c r="Q50" i="64"/>
  <c r="Q49" i="64"/>
  <c r="Q48" i="64"/>
  <c r="Q47" i="64"/>
  <c r="Q46" i="64"/>
  <c r="Q45" i="64"/>
  <c r="Q44" i="64"/>
  <c r="Q43" i="64"/>
  <c r="Q42" i="64"/>
  <c r="Q41" i="64"/>
  <c r="Q40" i="64"/>
  <c r="Q39" i="64"/>
  <c r="Q38" i="64"/>
  <c r="Q37" i="64"/>
  <c r="Q36" i="64"/>
  <c r="Q35" i="64"/>
  <c r="Q34" i="64"/>
  <c r="Q33" i="64"/>
  <c r="Q32" i="64"/>
  <c r="Q31" i="64"/>
  <c r="Q30" i="64"/>
  <c r="Q29" i="64"/>
  <c r="Q27" i="64"/>
  <c r="Q26" i="64"/>
  <c r="Q25" i="64"/>
  <c r="Q24" i="64"/>
  <c r="Q23" i="64"/>
  <c r="Q22" i="64"/>
  <c r="Q21" i="64"/>
  <c r="Q20" i="64"/>
  <c r="Q19" i="64"/>
  <c r="Q18" i="64"/>
  <c r="Q17" i="64"/>
  <c r="Q16" i="64"/>
  <c r="Q15" i="64"/>
  <c r="Q14" i="64"/>
  <c r="Q13" i="64"/>
  <c r="Q12" i="64"/>
  <c r="Q11" i="64"/>
  <c r="Q10" i="64"/>
  <c r="Q9" i="64"/>
  <c r="Q8" i="64"/>
  <c r="Q5" i="64"/>
  <c r="M68" i="64"/>
  <c r="E68" i="64"/>
  <c r="D68" i="64"/>
  <c r="C68" i="64"/>
  <c r="B68" i="64"/>
  <c r="A68" i="64"/>
  <c r="M67" i="64"/>
  <c r="E67" i="64"/>
  <c r="D67" i="64"/>
  <c r="C67" i="64"/>
  <c r="B67" i="64"/>
  <c r="A67" i="64"/>
  <c r="M66" i="64"/>
  <c r="E66" i="64"/>
  <c r="C66" i="64"/>
  <c r="B66" i="64"/>
  <c r="A66" i="64"/>
  <c r="M65" i="64"/>
  <c r="E65" i="64"/>
  <c r="D65" i="64"/>
  <c r="C65" i="64"/>
  <c r="B65" i="64"/>
  <c r="A65" i="64"/>
  <c r="M64" i="64"/>
  <c r="E64" i="64"/>
  <c r="D64" i="64"/>
  <c r="C64" i="64"/>
  <c r="B64" i="64"/>
  <c r="A64" i="64"/>
  <c r="M63" i="64"/>
  <c r="E63" i="64"/>
  <c r="D63" i="64"/>
  <c r="A63" i="64"/>
  <c r="M62" i="64"/>
  <c r="E62" i="64"/>
  <c r="D62" i="64"/>
  <c r="C62" i="64"/>
  <c r="M61" i="64"/>
  <c r="E61" i="64"/>
  <c r="C61" i="64"/>
  <c r="B61" i="64"/>
  <c r="A61" i="64"/>
  <c r="M60" i="64"/>
  <c r="E60" i="64"/>
  <c r="D60" i="64"/>
  <c r="C60" i="64"/>
  <c r="B60" i="64"/>
  <c r="A60" i="64"/>
  <c r="M59" i="64"/>
  <c r="E59" i="64"/>
  <c r="D59" i="64"/>
  <c r="C59" i="64"/>
  <c r="B59" i="64"/>
  <c r="A59" i="64"/>
  <c r="M58" i="64"/>
  <c r="E58" i="64"/>
  <c r="D58" i="64"/>
  <c r="C58" i="64"/>
  <c r="B58" i="64"/>
  <c r="A58" i="64"/>
  <c r="M57" i="64"/>
  <c r="E57" i="64"/>
  <c r="D57" i="64"/>
  <c r="A57" i="64"/>
  <c r="M56" i="64"/>
  <c r="E56" i="64"/>
  <c r="D56" i="64"/>
  <c r="C56" i="64"/>
  <c r="M55" i="64"/>
  <c r="E55" i="64"/>
  <c r="C55" i="64"/>
  <c r="B55" i="64"/>
  <c r="A55" i="64"/>
  <c r="M54" i="64"/>
  <c r="E54" i="64"/>
  <c r="C54" i="64"/>
  <c r="B54" i="64"/>
  <c r="A54" i="64"/>
  <c r="M53" i="64"/>
  <c r="E53" i="64"/>
  <c r="C53" i="64"/>
  <c r="B53" i="64"/>
  <c r="A53" i="64"/>
  <c r="M52" i="64"/>
  <c r="E52" i="64"/>
  <c r="D52" i="64"/>
  <c r="B52" i="64"/>
  <c r="A52" i="64"/>
  <c r="M51" i="64"/>
  <c r="E51" i="64"/>
  <c r="D51" i="64"/>
  <c r="M50" i="64"/>
  <c r="E50" i="64"/>
  <c r="D50" i="64"/>
  <c r="M49" i="64"/>
  <c r="E49" i="64"/>
  <c r="D49" i="64"/>
  <c r="C49" i="64"/>
  <c r="B49" i="64"/>
  <c r="A49" i="64"/>
  <c r="M48" i="64"/>
  <c r="E48" i="64"/>
  <c r="D48" i="64"/>
  <c r="C48" i="64"/>
  <c r="B48" i="64"/>
  <c r="A48" i="64"/>
  <c r="M47" i="64"/>
  <c r="E47" i="64"/>
  <c r="D47" i="64"/>
  <c r="C47" i="64"/>
  <c r="B47" i="64"/>
  <c r="A47" i="64"/>
  <c r="M46" i="64"/>
  <c r="E46" i="64"/>
  <c r="C46" i="64"/>
  <c r="B46" i="64"/>
  <c r="A46" i="64"/>
  <c r="M45" i="64"/>
  <c r="E45" i="64"/>
  <c r="D45" i="64"/>
  <c r="C45" i="64"/>
  <c r="B45" i="64"/>
  <c r="A45" i="64"/>
  <c r="M44" i="64"/>
  <c r="E44" i="64"/>
  <c r="C44" i="64"/>
  <c r="B44" i="64"/>
  <c r="A44" i="64"/>
  <c r="M43" i="64"/>
  <c r="E43" i="64"/>
  <c r="C43" i="64"/>
  <c r="B43" i="64"/>
  <c r="A43" i="64"/>
  <c r="M42" i="64"/>
  <c r="E42" i="64"/>
  <c r="C42" i="64"/>
  <c r="B42" i="64"/>
  <c r="A42" i="64"/>
  <c r="M41" i="64"/>
  <c r="E41" i="64"/>
  <c r="D41" i="64"/>
  <c r="B41" i="64"/>
  <c r="A41" i="64"/>
  <c r="M40" i="64"/>
  <c r="E40" i="64"/>
  <c r="D40" i="64"/>
  <c r="M39" i="64"/>
  <c r="E39" i="64"/>
  <c r="D39" i="64"/>
  <c r="C39" i="64"/>
  <c r="B39" i="64"/>
  <c r="A39" i="64"/>
  <c r="M38" i="64"/>
  <c r="E38" i="64"/>
  <c r="D38" i="64"/>
  <c r="C38" i="64"/>
  <c r="B38" i="64"/>
  <c r="A38" i="64"/>
  <c r="M37" i="64"/>
  <c r="E37" i="64"/>
  <c r="D37" i="64"/>
  <c r="C37" i="64"/>
  <c r="B37" i="64"/>
  <c r="A37" i="64"/>
  <c r="M36" i="64"/>
  <c r="E36" i="64"/>
  <c r="D36" i="64"/>
  <c r="C36" i="64"/>
  <c r="B36" i="64"/>
  <c r="A36" i="64"/>
  <c r="M35" i="64"/>
  <c r="E35" i="64"/>
  <c r="D35" i="64"/>
  <c r="C35" i="64"/>
  <c r="B35" i="64"/>
  <c r="A35" i="64"/>
  <c r="M34" i="64"/>
  <c r="E34" i="64"/>
  <c r="D34" i="64"/>
  <c r="C34" i="64"/>
  <c r="B34" i="64"/>
  <c r="A34" i="64"/>
  <c r="M33" i="64"/>
  <c r="E33" i="64"/>
  <c r="D33" i="64"/>
  <c r="C33" i="64"/>
  <c r="B33" i="64"/>
  <c r="A33" i="64"/>
  <c r="M32" i="64"/>
  <c r="E32" i="64"/>
  <c r="D32" i="64"/>
  <c r="M31" i="64"/>
  <c r="E31" i="64"/>
  <c r="D31" i="64"/>
  <c r="C31" i="64"/>
  <c r="B31" i="64"/>
  <c r="A31" i="64"/>
  <c r="M30" i="64"/>
  <c r="E30" i="64"/>
  <c r="D30" i="64"/>
  <c r="C30" i="64"/>
  <c r="B30" i="64"/>
  <c r="A30" i="64"/>
  <c r="M29" i="64"/>
  <c r="E29" i="64"/>
  <c r="D29" i="64"/>
  <c r="C29" i="64"/>
  <c r="B29" i="64"/>
  <c r="A29" i="64"/>
  <c r="B28" i="64"/>
  <c r="A28" i="64"/>
  <c r="M27" i="64"/>
  <c r="E27" i="64"/>
  <c r="C27" i="64"/>
  <c r="B27" i="64"/>
  <c r="A27" i="64"/>
  <c r="M26" i="64"/>
  <c r="E26" i="64"/>
  <c r="C26" i="64"/>
  <c r="B26" i="64"/>
  <c r="A26" i="64"/>
  <c r="M25" i="64"/>
  <c r="E25" i="64"/>
  <c r="C25" i="64"/>
  <c r="B25" i="64"/>
  <c r="A25" i="64"/>
  <c r="M24" i="64"/>
  <c r="E24" i="64"/>
  <c r="C24" i="64"/>
  <c r="B24" i="64"/>
  <c r="A24" i="64"/>
  <c r="M23" i="64"/>
  <c r="M22" i="64"/>
  <c r="E22" i="64"/>
  <c r="D22" i="64"/>
  <c r="C22" i="64"/>
  <c r="B22" i="64"/>
  <c r="A22" i="64"/>
  <c r="M21" i="64"/>
  <c r="E21" i="64"/>
  <c r="D21" i="64"/>
  <c r="C21" i="64"/>
  <c r="B21" i="64"/>
  <c r="A21" i="64"/>
  <c r="M20" i="64"/>
  <c r="E20" i="64"/>
  <c r="C20" i="64"/>
  <c r="B20" i="64"/>
  <c r="A20" i="64"/>
  <c r="M19" i="64"/>
  <c r="E19" i="64"/>
  <c r="C19" i="64"/>
  <c r="B19" i="64"/>
  <c r="A19" i="64"/>
  <c r="M18" i="64"/>
  <c r="E18" i="64"/>
  <c r="C18" i="64"/>
  <c r="B18" i="64"/>
  <c r="A18" i="64"/>
  <c r="M17" i="64"/>
  <c r="E17" i="64"/>
  <c r="C17" i="64"/>
  <c r="B17" i="64"/>
  <c r="A17" i="64"/>
  <c r="M16" i="64"/>
  <c r="D16" i="64"/>
  <c r="M15" i="64"/>
  <c r="E15" i="64"/>
  <c r="C15" i="64"/>
  <c r="B15" i="64"/>
  <c r="A15" i="64"/>
  <c r="M14" i="64"/>
  <c r="E14" i="64"/>
  <c r="C14" i="64"/>
  <c r="B14" i="64"/>
  <c r="A14" i="64"/>
  <c r="M13" i="64"/>
  <c r="E13" i="64"/>
  <c r="C13" i="64"/>
  <c r="B13" i="64"/>
  <c r="A13" i="64"/>
  <c r="M12" i="64"/>
  <c r="E12" i="64"/>
  <c r="C12" i="64"/>
  <c r="B12" i="64"/>
  <c r="A12" i="64"/>
  <c r="M11" i="64"/>
  <c r="D11" i="64"/>
  <c r="B11" i="64"/>
  <c r="A11" i="64"/>
  <c r="M10" i="64"/>
  <c r="D10" i="64"/>
  <c r="M9" i="64"/>
  <c r="E9" i="64"/>
  <c r="C9" i="64"/>
  <c r="B9" i="64"/>
  <c r="A9" i="64"/>
  <c r="M8" i="64"/>
  <c r="E8" i="64"/>
  <c r="C8" i="64"/>
  <c r="B8" i="64"/>
  <c r="A8" i="64"/>
  <c r="B7" i="64"/>
  <c r="A7" i="64"/>
  <c r="C4" i="64"/>
  <c r="B6" i="64"/>
  <c r="A6" i="64"/>
  <c r="M5" i="64"/>
  <c r="B5" i="64"/>
  <c r="A5" i="64"/>
  <c r="B2" i="64"/>
  <c r="M28" i="64"/>
  <c r="Q28" i="64"/>
  <c r="D43" i="64"/>
  <c r="Q6" i="64"/>
  <c r="M7" i="64"/>
  <c r="Q7" i="64"/>
  <c r="W43" i="64"/>
  <c r="M6" i="64"/>
  <c r="V38" i="64"/>
  <c r="V24" i="64"/>
  <c r="U30" i="64"/>
  <c r="U16" i="64"/>
  <c r="U39" i="64"/>
  <c r="U55" i="64"/>
  <c r="R45" i="64"/>
  <c r="X37" i="64"/>
  <c r="R24" i="64"/>
  <c r="X29" i="64"/>
  <c r="U15" i="64"/>
  <c r="U40" i="64"/>
  <c r="U56" i="64"/>
  <c r="V45" i="64"/>
  <c r="R36" i="64"/>
  <c r="V23" i="64"/>
  <c r="R29" i="64"/>
  <c r="U14" i="64"/>
  <c r="U41" i="64"/>
  <c r="U57" i="64"/>
  <c r="R46" i="64"/>
  <c r="T35" i="64"/>
  <c r="V43" i="64"/>
  <c r="U28" i="64"/>
  <c r="U13" i="64"/>
  <c r="U42" i="64"/>
  <c r="U58" i="64"/>
  <c r="V46" i="64"/>
  <c r="V61" i="64"/>
  <c r="S35" i="64"/>
  <c r="S51" i="64"/>
  <c r="S67" i="64"/>
  <c r="X54" i="64"/>
  <c r="T37" i="64"/>
  <c r="U27" i="64"/>
  <c r="S11" i="64"/>
  <c r="R5" i="64"/>
  <c r="V13" i="64"/>
  <c r="R54" i="64"/>
  <c r="W27" i="64"/>
  <c r="T24" i="64"/>
  <c r="V20" i="64"/>
  <c r="T18" i="64"/>
  <c r="V14" i="64"/>
  <c r="X10" i="64"/>
  <c r="W5" i="64"/>
  <c r="W13" i="64"/>
  <c r="W21" i="64"/>
  <c r="X30" i="64"/>
  <c r="T26" i="64"/>
  <c r="T68" i="64"/>
  <c r="T60" i="64"/>
  <c r="T52" i="64"/>
  <c r="T44" i="64"/>
  <c r="W64" i="64"/>
  <c r="W56" i="64"/>
  <c r="W48" i="64"/>
  <c r="W40" i="64"/>
  <c r="W32" i="64"/>
  <c r="R67" i="64"/>
  <c r="R59" i="64"/>
  <c r="R51" i="64"/>
  <c r="T17" i="64"/>
  <c r="R15" i="64"/>
  <c r="T11" i="64"/>
  <c r="V7" i="64"/>
  <c r="X23" i="64"/>
  <c r="S12" i="64"/>
  <c r="S20" i="64"/>
  <c r="X28" i="64"/>
  <c r="V41" i="64"/>
  <c r="X39" i="64"/>
  <c r="X61" i="64"/>
  <c r="X53" i="64"/>
  <c r="X45" i="64"/>
  <c r="S66" i="64"/>
  <c r="S58" i="64"/>
  <c r="S50" i="64"/>
  <c r="S42" i="64"/>
  <c r="S34" i="64"/>
  <c r="V68" i="64"/>
  <c r="V60" i="64"/>
  <c r="V52" i="64"/>
  <c r="R18" i="64"/>
  <c r="X16" i="64"/>
  <c r="R12" i="64"/>
  <c r="T8" i="64"/>
  <c r="W6" i="64"/>
  <c r="W14" i="64"/>
  <c r="W22" i="64"/>
  <c r="R32" i="64"/>
  <c r="T28" i="64"/>
  <c r="T67" i="64"/>
  <c r="T59" i="64"/>
  <c r="T51" i="64"/>
  <c r="T43" i="64"/>
  <c r="W63" i="64"/>
  <c r="W55" i="64"/>
  <c r="W47" i="64"/>
  <c r="W39" i="64"/>
  <c r="W31" i="64"/>
  <c r="R66" i="64"/>
  <c r="R58" i="64"/>
  <c r="V5" i="64"/>
  <c r="V21" i="64"/>
  <c r="X17" i="64"/>
  <c r="R13" i="64"/>
  <c r="S7" i="64"/>
  <c r="S15" i="64"/>
  <c r="S23" i="64"/>
  <c r="X32" i="64"/>
  <c r="V29" i="64"/>
  <c r="X66" i="64"/>
  <c r="X58" i="64"/>
  <c r="X50" i="64"/>
  <c r="X42" i="64"/>
  <c r="S63" i="64"/>
  <c r="S55" i="64"/>
  <c r="S47" i="64"/>
  <c r="S39" i="64"/>
  <c r="S31" i="64"/>
  <c r="V65" i="64"/>
  <c r="V57" i="64"/>
  <c r="V49" i="64"/>
  <c r="V8" i="64"/>
  <c r="T6" i="64"/>
  <c r="T22" i="64"/>
  <c r="V18" i="64"/>
  <c r="X14" i="64"/>
  <c r="W7" i="64"/>
  <c r="W15" i="64"/>
  <c r="W23" i="64"/>
  <c r="U33" i="64"/>
  <c r="T30" i="64"/>
  <c r="T66" i="64"/>
  <c r="T58" i="64"/>
  <c r="T50" i="64"/>
  <c r="T42" i="64"/>
  <c r="W62" i="64"/>
  <c r="W54" i="64"/>
  <c r="W46" i="64"/>
  <c r="W38" i="64"/>
  <c r="W30" i="64"/>
  <c r="R65" i="64"/>
  <c r="R57" i="64"/>
  <c r="T5" i="64"/>
  <c r="T21" i="64"/>
  <c r="R19" i="64"/>
  <c r="T15" i="64"/>
  <c r="V11" i="64"/>
  <c r="S6" i="64"/>
  <c r="S14" i="64"/>
  <c r="S22" i="64"/>
  <c r="U31" i="64"/>
  <c r="V27" i="64"/>
  <c r="X67" i="64"/>
  <c r="X59" i="64"/>
  <c r="X51" i="64"/>
  <c r="X43" i="64"/>
  <c r="S64" i="64"/>
  <c r="S56" i="64"/>
  <c r="S48" i="64"/>
  <c r="S40" i="64"/>
  <c r="S32" i="64"/>
  <c r="V66" i="64"/>
  <c r="V58" i="64"/>
  <c r="R6" i="64"/>
  <c r="R22" i="64"/>
  <c r="X20" i="64"/>
  <c r="R16" i="64"/>
  <c r="T12" i="64"/>
  <c r="W8" i="64"/>
  <c r="W16" i="64"/>
  <c r="W24" i="64"/>
  <c r="X34" i="64"/>
  <c r="T32" i="64"/>
  <c r="T65" i="64"/>
  <c r="T57" i="64"/>
  <c r="T49" i="64"/>
  <c r="T41" i="64"/>
  <c r="W61" i="64"/>
  <c r="W53" i="64"/>
  <c r="W45" i="64"/>
  <c r="W37" i="64"/>
  <c r="W29" i="64"/>
  <c r="R64" i="64"/>
  <c r="R56" i="64"/>
  <c r="X11" i="64"/>
  <c r="V9" i="64"/>
  <c r="X21" i="64"/>
  <c r="R17" i="64"/>
  <c r="S9" i="64"/>
  <c r="S17" i="64"/>
  <c r="S25" i="64"/>
  <c r="V35" i="64"/>
  <c r="V33" i="64"/>
  <c r="X64" i="64"/>
  <c r="X56" i="64"/>
  <c r="X48" i="64"/>
  <c r="X40" i="64"/>
  <c r="S61" i="64"/>
  <c r="S53" i="64"/>
  <c r="S45" i="64"/>
  <c r="S37" i="64"/>
  <c r="S29" i="64"/>
  <c r="V63" i="64"/>
  <c r="V55" i="64"/>
  <c r="V48" i="64"/>
  <c r="V12" i="64"/>
  <c r="T10" i="64"/>
  <c r="V6" i="64"/>
  <c r="V22" i="64"/>
  <c r="X18" i="64"/>
  <c r="W9" i="64"/>
  <c r="W17" i="64"/>
  <c r="W25" i="64"/>
  <c r="T36" i="64"/>
  <c r="T34" i="64"/>
  <c r="T64" i="64"/>
  <c r="T56" i="64"/>
  <c r="T48" i="64"/>
  <c r="W68" i="64"/>
  <c r="W60" i="64"/>
  <c r="W52" i="64"/>
  <c r="W44" i="64"/>
  <c r="W36" i="64"/>
  <c r="W28" i="64"/>
  <c r="R63" i="64"/>
  <c r="R55" i="64"/>
  <c r="T9" i="64"/>
  <c r="R7" i="64"/>
  <c r="R23" i="64"/>
  <c r="T19" i="64"/>
  <c r="V15" i="64"/>
  <c r="S8" i="64"/>
  <c r="S16" i="64"/>
  <c r="S24" i="64"/>
  <c r="R34" i="64"/>
  <c r="V31" i="64"/>
  <c r="X65" i="64"/>
  <c r="X57" i="64"/>
  <c r="X49" i="64"/>
  <c r="X41" i="64"/>
  <c r="S62" i="64"/>
  <c r="S54" i="64"/>
  <c r="S46" i="64"/>
  <c r="S38" i="64"/>
  <c r="S30" i="64"/>
  <c r="V64" i="64"/>
  <c r="V56" i="64"/>
  <c r="R10" i="64"/>
  <c r="X8" i="64"/>
  <c r="R43" i="64"/>
  <c r="R20" i="64"/>
  <c r="T16" i="64"/>
  <c r="W10" i="64"/>
  <c r="W18" i="64"/>
  <c r="X26" i="64"/>
  <c r="X38" i="64"/>
  <c r="V36" i="64"/>
  <c r="T63" i="64"/>
  <c r="T55" i="64"/>
  <c r="T47" i="64"/>
  <c r="W67" i="64"/>
  <c r="W59" i="64"/>
  <c r="V16" i="64"/>
  <c r="T14" i="64"/>
  <c r="V10" i="64"/>
  <c r="X6" i="64"/>
  <c r="X22" i="64"/>
  <c r="W11" i="64"/>
  <c r="W19" i="64"/>
  <c r="R28" i="64"/>
  <c r="T40" i="64"/>
  <c r="R38" i="64"/>
  <c r="T62" i="64"/>
  <c r="T54" i="64"/>
  <c r="T46" i="64"/>
  <c r="W66" i="64"/>
  <c r="W58" i="64"/>
  <c r="W50" i="64"/>
  <c r="W42" i="64"/>
  <c r="W34" i="64"/>
  <c r="W26" i="64"/>
  <c r="R61" i="64"/>
  <c r="R53" i="64"/>
  <c r="T13" i="64"/>
  <c r="R11" i="64"/>
  <c r="T7" i="64"/>
  <c r="T23" i="64"/>
  <c r="V19" i="64"/>
  <c r="S10" i="64"/>
  <c r="S18" i="64"/>
  <c r="S26" i="64"/>
  <c r="R37" i="64"/>
  <c r="X35" i="64"/>
  <c r="X63" i="64"/>
  <c r="X55" i="64"/>
  <c r="X47" i="64"/>
  <c r="S68" i="64"/>
  <c r="S60" i="64"/>
  <c r="S52" i="64"/>
  <c r="S44" i="64"/>
  <c r="S36" i="64"/>
  <c r="S28" i="64"/>
  <c r="V62" i="64"/>
  <c r="V54" i="64"/>
  <c r="R14" i="64"/>
  <c r="X12" i="64"/>
  <c r="R8" i="64"/>
  <c r="X24" i="64"/>
  <c r="T20" i="64"/>
  <c r="W12" i="64"/>
  <c r="W20" i="64"/>
  <c r="U29" i="64"/>
  <c r="T25" i="64"/>
  <c r="V40" i="64"/>
  <c r="T61" i="64"/>
  <c r="T53" i="64"/>
  <c r="T45" i="64"/>
  <c r="W65" i="64"/>
  <c r="V34" i="64"/>
  <c r="R42" i="64"/>
  <c r="X27" i="64"/>
  <c r="U12" i="64"/>
  <c r="U43" i="64"/>
  <c r="U59" i="64"/>
  <c r="R47" i="64"/>
  <c r="T33" i="64"/>
  <c r="R39" i="64"/>
  <c r="R27" i="64"/>
  <c r="U11" i="64"/>
  <c r="U44" i="64"/>
  <c r="U60" i="64"/>
  <c r="V47" i="64"/>
  <c r="V32" i="64"/>
  <c r="T38" i="64"/>
  <c r="U26" i="64"/>
  <c r="U10" i="64"/>
  <c r="U45" i="64"/>
  <c r="U61" i="64"/>
  <c r="R48" i="64"/>
  <c r="T31" i="64"/>
  <c r="V37" i="64"/>
  <c r="U25" i="64"/>
  <c r="U9" i="64"/>
  <c r="U46" i="64"/>
  <c r="U62" i="64"/>
  <c r="V51" i="64"/>
  <c r="V67" i="64"/>
  <c r="S41" i="64"/>
  <c r="S57" i="64"/>
  <c r="X44" i="64"/>
  <c r="X60" i="64"/>
  <c r="X25" i="64"/>
  <c r="S21" i="64"/>
  <c r="S5" i="64"/>
  <c r="X13" i="64"/>
  <c r="X19" i="64"/>
  <c r="R60" i="64"/>
  <c r="W33" i="64"/>
  <c r="W49" i="64"/>
  <c r="V30" i="64"/>
  <c r="X36" i="64"/>
  <c r="U24" i="64"/>
  <c r="U8" i="64"/>
  <c r="U47" i="64"/>
  <c r="U63" i="64"/>
  <c r="R49" i="64"/>
  <c r="T29" i="64"/>
  <c r="R35" i="64"/>
  <c r="U23" i="64"/>
  <c r="U7" i="64"/>
  <c r="U48" i="64"/>
  <c r="U64" i="64"/>
  <c r="R50" i="64"/>
  <c r="V28" i="64"/>
  <c r="U34" i="64"/>
  <c r="U22" i="64"/>
  <c r="U6" i="64"/>
  <c r="U49" i="64"/>
  <c r="U65" i="64"/>
  <c r="V50" i="64"/>
  <c r="T27" i="64"/>
  <c r="X33" i="64"/>
  <c r="U21" i="64"/>
  <c r="U5" i="64"/>
  <c r="U50" i="64"/>
  <c r="U66" i="64"/>
  <c r="V53" i="64"/>
  <c r="S27" i="64"/>
  <c r="S43" i="64"/>
  <c r="S59" i="64"/>
  <c r="X46" i="64"/>
  <c r="X62" i="64"/>
  <c r="V39" i="64"/>
  <c r="S19" i="64"/>
  <c r="R21" i="64"/>
  <c r="X9" i="64"/>
  <c r="X15" i="64"/>
  <c r="R62" i="64"/>
  <c r="W35" i="64"/>
  <c r="W51" i="64"/>
  <c r="V42" i="64"/>
  <c r="V26" i="64"/>
  <c r="R33" i="64"/>
  <c r="U20" i="64"/>
  <c r="U35" i="64"/>
  <c r="U51" i="64"/>
  <c r="U67" i="64"/>
  <c r="R41" i="64"/>
  <c r="R26" i="64"/>
  <c r="U32" i="64"/>
  <c r="U19" i="64"/>
  <c r="U36" i="64"/>
  <c r="U52" i="64"/>
  <c r="U68" i="64"/>
  <c r="R40" i="64"/>
  <c r="V25" i="64"/>
  <c r="X31" i="64"/>
  <c r="U18" i="64"/>
  <c r="U37" i="64"/>
  <c r="U53" i="64"/>
  <c r="R44" i="64"/>
  <c r="T39" i="64"/>
  <c r="R25" i="64"/>
  <c r="R31" i="64"/>
  <c r="U17" i="64"/>
  <c r="U38" i="64"/>
  <c r="U54" i="64"/>
  <c r="V44" i="64"/>
  <c r="V59" i="64"/>
  <c r="S33" i="64"/>
  <c r="S49" i="64"/>
  <c r="S65" i="64"/>
  <c r="X52" i="64"/>
  <c r="X68" i="64"/>
  <c r="R30" i="64"/>
  <c r="S13" i="64"/>
  <c r="R9" i="64"/>
  <c r="V17" i="64"/>
  <c r="R52" i="64"/>
  <c r="R68" i="64"/>
  <c r="W41" i="64"/>
  <c r="W57" i="64"/>
  <c r="M4" i="64"/>
  <c r="W4" i="64"/>
  <c r="X5" i="64"/>
  <c r="D9" i="64"/>
  <c r="D8" i="64"/>
  <c r="D54" i="64"/>
  <c r="D53" i="64"/>
  <c r="D44" i="64"/>
  <c r="D61" i="64"/>
  <c r="D66" i="64"/>
  <c r="D12" i="64"/>
  <c r="D55" i="64"/>
  <c r="D18" i="64"/>
  <c r="D15" i="64"/>
  <c r="D17" i="64"/>
  <c r="D13" i="64"/>
  <c r="D20" i="64"/>
  <c r="D42" i="64"/>
  <c r="C5" i="64"/>
  <c r="I4" i="64"/>
  <c r="K4" i="64"/>
  <c r="D14" i="64"/>
  <c r="D46" i="64"/>
  <c r="D27" i="64"/>
  <c r="D26" i="64"/>
  <c r="D25" i="64"/>
  <c r="D24" i="64"/>
  <c r="D19" i="64"/>
  <c r="X7" i="64"/>
  <c r="X4" i="64"/>
  <c r="L4" i="64"/>
  <c r="Q68" i="42"/>
  <c r="Q67" i="42"/>
  <c r="Q66" i="42"/>
  <c r="Q65" i="42"/>
  <c r="Q64" i="42"/>
  <c r="Q63" i="42"/>
  <c r="Q62" i="42"/>
  <c r="Q61" i="42"/>
  <c r="Q60" i="42"/>
  <c r="Q59" i="42"/>
  <c r="Q58" i="42"/>
  <c r="Q57" i="42"/>
  <c r="Q56" i="42"/>
  <c r="Q55" i="42"/>
  <c r="Q54" i="42"/>
  <c r="Q53" i="42"/>
  <c r="Q52" i="42"/>
  <c r="Q51" i="42"/>
  <c r="Q50" i="42"/>
  <c r="Q49" i="42"/>
  <c r="Q48" i="42"/>
  <c r="Q47" i="42"/>
  <c r="Q46" i="42"/>
  <c r="Q45" i="42"/>
  <c r="Q44" i="42"/>
  <c r="Q43" i="42"/>
  <c r="Q42" i="42"/>
  <c r="Q41" i="42"/>
  <c r="Q40" i="42"/>
  <c r="Q39" i="42"/>
  <c r="Q38" i="42"/>
  <c r="Q37" i="42"/>
  <c r="Q36" i="42"/>
  <c r="Q35" i="42"/>
  <c r="Q34" i="42"/>
  <c r="Q33" i="42"/>
  <c r="Q32" i="42"/>
  <c r="Q31" i="42"/>
  <c r="Q30" i="42"/>
  <c r="Q29" i="42"/>
  <c r="Q28" i="42"/>
  <c r="Q27" i="42"/>
  <c r="Q26" i="42"/>
  <c r="Q25" i="42"/>
  <c r="Q23" i="42"/>
  <c r="Q22" i="42"/>
  <c r="Q21" i="42"/>
  <c r="Q20" i="42"/>
  <c r="Q19" i="42"/>
  <c r="Q18" i="42"/>
  <c r="Q17" i="42"/>
  <c r="Q16" i="42"/>
  <c r="Q15" i="42"/>
  <c r="Q14" i="42"/>
  <c r="Q13" i="42"/>
  <c r="Q12" i="42"/>
  <c r="Q11" i="42"/>
  <c r="Q10" i="42"/>
  <c r="Q7" i="42"/>
  <c r="Q6" i="42"/>
  <c r="Q5" i="42"/>
  <c r="Q9" i="42"/>
  <c r="M68" i="42"/>
  <c r="E68" i="42"/>
  <c r="D68" i="42"/>
  <c r="C68" i="42"/>
  <c r="B68" i="42"/>
  <c r="A68" i="42"/>
  <c r="M67" i="42"/>
  <c r="E67" i="42"/>
  <c r="D67" i="42"/>
  <c r="C67" i="42"/>
  <c r="B67" i="42"/>
  <c r="A67" i="42"/>
  <c r="M66" i="42"/>
  <c r="E66" i="42"/>
  <c r="C66" i="42"/>
  <c r="B66" i="42"/>
  <c r="A66" i="42"/>
  <c r="M65" i="42"/>
  <c r="E65" i="42"/>
  <c r="D65" i="42"/>
  <c r="C65" i="42"/>
  <c r="B65" i="42"/>
  <c r="A65" i="42"/>
  <c r="M64" i="42"/>
  <c r="E64" i="42"/>
  <c r="D64" i="42"/>
  <c r="C64" i="42"/>
  <c r="B64" i="42"/>
  <c r="A64" i="42"/>
  <c r="M63" i="42"/>
  <c r="E63" i="42"/>
  <c r="D63" i="42"/>
  <c r="A63" i="42"/>
  <c r="M62" i="42"/>
  <c r="E62" i="42"/>
  <c r="D62" i="42"/>
  <c r="C62" i="42"/>
  <c r="M61" i="42"/>
  <c r="E61" i="42"/>
  <c r="C61" i="42"/>
  <c r="B61" i="42"/>
  <c r="A61" i="42"/>
  <c r="M60" i="42"/>
  <c r="E60" i="42"/>
  <c r="D60" i="42"/>
  <c r="C60" i="42"/>
  <c r="B60" i="42"/>
  <c r="A60" i="42"/>
  <c r="M59" i="42"/>
  <c r="E59" i="42"/>
  <c r="D59" i="42"/>
  <c r="C59" i="42"/>
  <c r="B59" i="42"/>
  <c r="A59" i="42"/>
  <c r="M58" i="42"/>
  <c r="E58" i="42"/>
  <c r="D58" i="42"/>
  <c r="C58" i="42"/>
  <c r="B58" i="42"/>
  <c r="A58" i="42"/>
  <c r="M57" i="42"/>
  <c r="E57" i="42"/>
  <c r="D57" i="42"/>
  <c r="A57" i="42"/>
  <c r="M56" i="42"/>
  <c r="E56" i="42"/>
  <c r="D56" i="42"/>
  <c r="C56" i="42"/>
  <c r="M55" i="42"/>
  <c r="E55" i="42"/>
  <c r="C55" i="42"/>
  <c r="B55" i="42"/>
  <c r="A55" i="42"/>
  <c r="M54" i="42"/>
  <c r="E54" i="42"/>
  <c r="C54" i="42"/>
  <c r="B54" i="42"/>
  <c r="A54" i="42"/>
  <c r="M53" i="42"/>
  <c r="E53" i="42"/>
  <c r="C53" i="42"/>
  <c r="B53" i="42"/>
  <c r="A53" i="42"/>
  <c r="M52" i="42"/>
  <c r="E52" i="42"/>
  <c r="D52" i="42"/>
  <c r="B52" i="42"/>
  <c r="A52" i="42"/>
  <c r="M51" i="42"/>
  <c r="E51" i="42"/>
  <c r="D51" i="42"/>
  <c r="M50" i="42"/>
  <c r="E50" i="42"/>
  <c r="D50" i="42"/>
  <c r="M49" i="42"/>
  <c r="E49" i="42"/>
  <c r="D49" i="42"/>
  <c r="C49" i="42"/>
  <c r="B49" i="42"/>
  <c r="A49" i="42"/>
  <c r="M48" i="42"/>
  <c r="E48" i="42"/>
  <c r="D48" i="42"/>
  <c r="C48" i="42"/>
  <c r="B48" i="42"/>
  <c r="A48" i="42"/>
  <c r="M47" i="42"/>
  <c r="E47" i="42"/>
  <c r="D47" i="42"/>
  <c r="C47" i="42"/>
  <c r="B47" i="42"/>
  <c r="A47" i="42"/>
  <c r="M46" i="42"/>
  <c r="E46" i="42"/>
  <c r="C46" i="42"/>
  <c r="B46" i="42"/>
  <c r="A46" i="42"/>
  <c r="M45" i="42"/>
  <c r="E45" i="42"/>
  <c r="D45" i="42"/>
  <c r="C45" i="42"/>
  <c r="B45" i="42"/>
  <c r="A45" i="42"/>
  <c r="M44" i="42"/>
  <c r="E44" i="42"/>
  <c r="C44" i="42"/>
  <c r="B44" i="42"/>
  <c r="A44" i="42"/>
  <c r="M43" i="42"/>
  <c r="E43" i="42"/>
  <c r="C43" i="42"/>
  <c r="B43" i="42"/>
  <c r="A43" i="42"/>
  <c r="M42" i="42"/>
  <c r="E42" i="42"/>
  <c r="C42" i="42"/>
  <c r="B42" i="42"/>
  <c r="A42" i="42"/>
  <c r="M41" i="42"/>
  <c r="E41" i="42"/>
  <c r="D41" i="42"/>
  <c r="B41" i="42"/>
  <c r="A41" i="42"/>
  <c r="M40" i="42"/>
  <c r="E40" i="42"/>
  <c r="D40" i="42"/>
  <c r="M39" i="42"/>
  <c r="E39" i="42"/>
  <c r="D39" i="42"/>
  <c r="C39" i="42"/>
  <c r="B39" i="42"/>
  <c r="A39" i="42"/>
  <c r="M38" i="42"/>
  <c r="E38" i="42"/>
  <c r="D38" i="42"/>
  <c r="C38" i="42"/>
  <c r="B38" i="42"/>
  <c r="A38" i="42"/>
  <c r="M37" i="42"/>
  <c r="E37" i="42"/>
  <c r="D37" i="42"/>
  <c r="C37" i="42"/>
  <c r="B37" i="42"/>
  <c r="A37" i="42"/>
  <c r="M36" i="42"/>
  <c r="E36" i="42"/>
  <c r="D36" i="42"/>
  <c r="C36" i="42"/>
  <c r="B36" i="42"/>
  <c r="A36" i="42"/>
  <c r="M35" i="42"/>
  <c r="E35" i="42"/>
  <c r="D35" i="42"/>
  <c r="C35" i="42"/>
  <c r="B35" i="42"/>
  <c r="A35" i="42"/>
  <c r="M34" i="42"/>
  <c r="E34" i="42"/>
  <c r="D34" i="42"/>
  <c r="C34" i="42"/>
  <c r="B34" i="42"/>
  <c r="A34" i="42"/>
  <c r="M33" i="42"/>
  <c r="E33" i="42"/>
  <c r="D33" i="42"/>
  <c r="C33" i="42"/>
  <c r="B33" i="42"/>
  <c r="A33" i="42"/>
  <c r="M32" i="42"/>
  <c r="E32" i="42"/>
  <c r="D32" i="42"/>
  <c r="M31" i="42"/>
  <c r="E31" i="42"/>
  <c r="D31" i="42"/>
  <c r="C31" i="42"/>
  <c r="B31" i="42"/>
  <c r="A31" i="42"/>
  <c r="M30" i="42"/>
  <c r="E30" i="42"/>
  <c r="D30" i="42"/>
  <c r="C30" i="42"/>
  <c r="B30" i="42"/>
  <c r="A30" i="42"/>
  <c r="M29" i="42"/>
  <c r="E29" i="42"/>
  <c r="D29" i="42"/>
  <c r="C29" i="42"/>
  <c r="B29" i="42"/>
  <c r="A29" i="42"/>
  <c r="M28" i="42"/>
  <c r="E28" i="42"/>
  <c r="C28" i="42"/>
  <c r="B28" i="42"/>
  <c r="A28" i="42"/>
  <c r="M27" i="42"/>
  <c r="E27" i="42"/>
  <c r="C27" i="42"/>
  <c r="B27" i="42"/>
  <c r="A27" i="42"/>
  <c r="M26" i="42"/>
  <c r="E26" i="42"/>
  <c r="C26" i="42"/>
  <c r="B26" i="42"/>
  <c r="A26" i="42"/>
  <c r="M25" i="42"/>
  <c r="E25" i="42"/>
  <c r="C25" i="42"/>
  <c r="B25" i="42"/>
  <c r="A25" i="42"/>
  <c r="B24" i="42"/>
  <c r="A24" i="42"/>
  <c r="M23" i="42"/>
  <c r="M22" i="42"/>
  <c r="E22" i="42"/>
  <c r="D22" i="42"/>
  <c r="C22" i="42"/>
  <c r="B22" i="42"/>
  <c r="A22" i="42"/>
  <c r="M21" i="42"/>
  <c r="E21" i="42"/>
  <c r="D21" i="42"/>
  <c r="C21" i="42"/>
  <c r="B21" i="42"/>
  <c r="A21" i="42"/>
  <c r="M20" i="42"/>
  <c r="E20" i="42"/>
  <c r="C20" i="42"/>
  <c r="B20" i="42"/>
  <c r="A20" i="42"/>
  <c r="M19" i="42"/>
  <c r="E19" i="42"/>
  <c r="C19" i="42"/>
  <c r="B19" i="42"/>
  <c r="A19" i="42"/>
  <c r="M18" i="42"/>
  <c r="E18" i="42"/>
  <c r="C18" i="42"/>
  <c r="B18" i="42"/>
  <c r="A18" i="42"/>
  <c r="M17" i="42"/>
  <c r="E17" i="42"/>
  <c r="C17" i="42"/>
  <c r="B17" i="42"/>
  <c r="A17" i="42"/>
  <c r="M16" i="42"/>
  <c r="D16" i="42"/>
  <c r="M15" i="42"/>
  <c r="E15" i="42"/>
  <c r="C15" i="42"/>
  <c r="B15" i="42"/>
  <c r="A15" i="42"/>
  <c r="M14" i="42"/>
  <c r="E14" i="42"/>
  <c r="C14" i="42"/>
  <c r="B14" i="42"/>
  <c r="A14" i="42"/>
  <c r="M13" i="42"/>
  <c r="E13" i="42"/>
  <c r="C13" i="42"/>
  <c r="B13" i="42"/>
  <c r="A13" i="42"/>
  <c r="M12" i="42"/>
  <c r="E12" i="42"/>
  <c r="C12" i="42"/>
  <c r="B12" i="42"/>
  <c r="A12" i="42"/>
  <c r="M11" i="42"/>
  <c r="D11" i="42"/>
  <c r="B11" i="42"/>
  <c r="A11" i="42"/>
  <c r="M10" i="42"/>
  <c r="D10" i="42"/>
  <c r="B9" i="42"/>
  <c r="A9" i="42"/>
  <c r="B8" i="42"/>
  <c r="A8" i="42"/>
  <c r="M7" i="42"/>
  <c r="E7" i="42"/>
  <c r="C7" i="42"/>
  <c r="B7" i="42"/>
  <c r="A7" i="42"/>
  <c r="M6" i="42"/>
  <c r="E6" i="42"/>
  <c r="C6" i="42"/>
  <c r="B6" i="42"/>
  <c r="A6" i="42"/>
  <c r="M5" i="42"/>
  <c r="B5" i="42"/>
  <c r="A5" i="42"/>
  <c r="B2" i="42"/>
  <c r="D43" i="42"/>
  <c r="M9" i="42"/>
  <c r="C4" i="42"/>
  <c r="M24" i="42"/>
  <c r="Q24" i="42"/>
  <c r="M8" i="42"/>
  <c r="Q8" i="42"/>
  <c r="M4" i="42"/>
  <c r="T26" i="42"/>
  <c r="X6" i="42"/>
  <c r="X8" i="42"/>
  <c r="X10" i="42"/>
  <c r="X12" i="42"/>
  <c r="X14" i="42"/>
  <c r="X16" i="42"/>
  <c r="X18" i="42"/>
  <c r="X20" i="42"/>
  <c r="X22" i="42"/>
  <c r="X24" i="42"/>
  <c r="T68" i="42"/>
  <c r="T66" i="42"/>
  <c r="T64" i="42"/>
  <c r="T62" i="42"/>
  <c r="T60" i="42"/>
  <c r="T58" i="42"/>
  <c r="T56" i="42"/>
  <c r="T54" i="42"/>
  <c r="T52" i="42"/>
  <c r="T50" i="42"/>
  <c r="T48" i="42"/>
  <c r="T46" i="42"/>
  <c r="T44" i="42"/>
  <c r="T42" i="42"/>
  <c r="T40" i="42"/>
  <c r="T38" i="42"/>
  <c r="T36" i="42"/>
  <c r="T34" i="42"/>
  <c r="T32" i="42"/>
  <c r="T30" i="42"/>
  <c r="T28" i="42"/>
  <c r="W68" i="42"/>
  <c r="W66" i="42"/>
  <c r="W64" i="42"/>
  <c r="W62" i="42"/>
  <c r="W60" i="42"/>
  <c r="W58" i="42"/>
  <c r="W56" i="42"/>
  <c r="W54" i="42"/>
  <c r="W52" i="42"/>
  <c r="W50" i="42"/>
  <c r="W48" i="42"/>
  <c r="W46" i="42"/>
  <c r="W44" i="42"/>
  <c r="W42" i="42"/>
  <c r="W40" i="42"/>
  <c r="W38" i="42"/>
  <c r="W36" i="42"/>
  <c r="W34" i="42"/>
  <c r="W32" i="42"/>
  <c r="W30" i="42"/>
  <c r="W28" i="42"/>
  <c r="W26" i="42"/>
  <c r="R67" i="42"/>
  <c r="R65" i="42"/>
  <c r="R63" i="42"/>
  <c r="R61" i="42"/>
  <c r="R59" i="42"/>
  <c r="R57" i="42"/>
  <c r="R55" i="42"/>
  <c r="R53" i="42"/>
  <c r="R51" i="42"/>
  <c r="R49" i="42"/>
  <c r="R47" i="42"/>
  <c r="R45" i="42"/>
  <c r="R43" i="42"/>
  <c r="R41" i="42"/>
  <c r="R39" i="42"/>
  <c r="R37" i="42"/>
  <c r="R35" i="42"/>
  <c r="R33" i="42"/>
  <c r="R31" i="42"/>
  <c r="R29" i="42"/>
  <c r="R27" i="42"/>
  <c r="U66" i="42"/>
  <c r="U62" i="42"/>
  <c r="U58" i="42"/>
  <c r="U54" i="42"/>
  <c r="U50" i="42"/>
  <c r="U46" i="42"/>
  <c r="U42" i="42"/>
  <c r="U38" i="42"/>
  <c r="U34" i="42"/>
  <c r="U30" i="42"/>
  <c r="T5" i="42"/>
  <c r="T7" i="42"/>
  <c r="T9" i="42"/>
  <c r="T11" i="42"/>
  <c r="T13" i="42"/>
  <c r="T15" i="42"/>
  <c r="T17" i="42"/>
  <c r="T19" i="42"/>
  <c r="T21" i="42"/>
  <c r="T23" i="42"/>
  <c r="T25" i="42"/>
  <c r="X67" i="42"/>
  <c r="X65" i="42"/>
  <c r="X63" i="42"/>
  <c r="X61" i="42"/>
  <c r="X59" i="42"/>
  <c r="X57" i="42"/>
  <c r="X55" i="42"/>
  <c r="X53" i="42"/>
  <c r="X51" i="42"/>
  <c r="X49" i="42"/>
  <c r="X47" i="42"/>
  <c r="X45" i="42"/>
  <c r="X43" i="42"/>
  <c r="X41" i="42"/>
  <c r="X39" i="42"/>
  <c r="X37" i="42"/>
  <c r="X35" i="42"/>
  <c r="X33" i="42"/>
  <c r="X31" i="42"/>
  <c r="X29" i="42"/>
  <c r="X27" i="42"/>
  <c r="S68" i="42"/>
  <c r="S66" i="42"/>
  <c r="S64" i="42"/>
  <c r="S62" i="42"/>
  <c r="S60" i="42"/>
  <c r="S58" i="42"/>
  <c r="S56" i="42"/>
  <c r="S54" i="42"/>
  <c r="S52" i="42"/>
  <c r="S50" i="42"/>
  <c r="S48" i="42"/>
  <c r="S46" i="42"/>
  <c r="S44" i="42"/>
  <c r="S42" i="42"/>
  <c r="S40" i="42"/>
  <c r="S38" i="42"/>
  <c r="S36" i="42"/>
  <c r="S34" i="42"/>
  <c r="S32" i="42"/>
  <c r="S30" i="42"/>
  <c r="S28" i="42"/>
  <c r="V68" i="42"/>
  <c r="V66" i="42"/>
  <c r="V64" i="42"/>
  <c r="V62" i="42"/>
  <c r="V60" i="42"/>
  <c r="V58" i="42"/>
  <c r="V56" i="42"/>
  <c r="V54" i="42"/>
  <c r="V52" i="42"/>
  <c r="V50" i="42"/>
  <c r="V48" i="42"/>
  <c r="V46" i="42"/>
  <c r="V44" i="42"/>
  <c r="V42" i="42"/>
  <c r="V40" i="42"/>
  <c r="V38" i="42"/>
  <c r="V36" i="42"/>
  <c r="V34" i="42"/>
  <c r="V32" i="42"/>
  <c r="V30" i="42"/>
  <c r="V28" i="42"/>
  <c r="V26" i="42"/>
  <c r="U65" i="42"/>
  <c r="U61" i="42"/>
  <c r="U57" i="42"/>
  <c r="U53" i="42"/>
  <c r="U49" i="42"/>
  <c r="U45" i="42"/>
  <c r="U41" i="42"/>
  <c r="X9" i="42"/>
  <c r="X11" i="42"/>
  <c r="X13" i="42"/>
  <c r="X15" i="42"/>
  <c r="X17" i="42"/>
  <c r="X19" i="42"/>
  <c r="X21" i="42"/>
  <c r="X23" i="42"/>
  <c r="X25" i="42"/>
  <c r="T67" i="42"/>
  <c r="T65" i="42"/>
  <c r="T63" i="42"/>
  <c r="T61" i="42"/>
  <c r="T59" i="42"/>
  <c r="T57" i="42"/>
  <c r="T55" i="42"/>
  <c r="T53" i="42"/>
  <c r="T51" i="42"/>
  <c r="T49" i="42"/>
  <c r="T47" i="42"/>
  <c r="T45" i="42"/>
  <c r="T43" i="42"/>
  <c r="T41" i="42"/>
  <c r="T39" i="42"/>
  <c r="T37" i="42"/>
  <c r="T35" i="42"/>
  <c r="T33" i="42"/>
  <c r="T31" i="42"/>
  <c r="T29" i="42"/>
  <c r="T27" i="42"/>
  <c r="W67" i="42"/>
  <c r="W65" i="42"/>
  <c r="W63" i="42"/>
  <c r="W61" i="42"/>
  <c r="W59" i="42"/>
  <c r="W57" i="42"/>
  <c r="W55" i="42"/>
  <c r="W53" i="42"/>
  <c r="W51" i="42"/>
  <c r="W49" i="42"/>
  <c r="W47" i="42"/>
  <c r="W45" i="42"/>
  <c r="W43" i="42"/>
  <c r="W41" i="42"/>
  <c r="W39" i="42"/>
  <c r="W37" i="42"/>
  <c r="W35" i="42"/>
  <c r="W33" i="42"/>
  <c r="W31" i="42"/>
  <c r="W29" i="42"/>
  <c r="W27" i="42"/>
  <c r="R68" i="42"/>
  <c r="R66" i="42"/>
  <c r="R64" i="42"/>
  <c r="R62" i="42"/>
  <c r="R60" i="42"/>
  <c r="R58" i="42"/>
  <c r="R56" i="42"/>
  <c r="R54" i="42"/>
  <c r="R52" i="42"/>
  <c r="R50" i="42"/>
  <c r="R48" i="42"/>
  <c r="R46" i="42"/>
  <c r="R44" i="42"/>
  <c r="R42" i="42"/>
  <c r="R40" i="42"/>
  <c r="R38" i="42"/>
  <c r="R36" i="42"/>
  <c r="R34" i="42"/>
  <c r="R32" i="42"/>
  <c r="R30" i="42"/>
  <c r="R28" i="42"/>
  <c r="U68" i="42"/>
  <c r="U64" i="42"/>
  <c r="U60" i="42"/>
  <c r="U56" i="42"/>
  <c r="U52" i="42"/>
  <c r="U48" i="42"/>
  <c r="U44" i="42"/>
  <c r="U40" i="42"/>
  <c r="T6" i="42"/>
  <c r="T8" i="42"/>
  <c r="T10" i="42"/>
  <c r="T12" i="42"/>
  <c r="T14" i="42"/>
  <c r="T16" i="42"/>
  <c r="T18" i="42"/>
  <c r="T20" i="42"/>
  <c r="T22" i="42"/>
  <c r="T24" i="42"/>
  <c r="X68" i="42"/>
  <c r="X66" i="42"/>
  <c r="X64" i="42"/>
  <c r="X62" i="42"/>
  <c r="X60" i="42"/>
  <c r="X58" i="42"/>
  <c r="X56" i="42"/>
  <c r="X54" i="42"/>
  <c r="X52" i="42"/>
  <c r="X50" i="42"/>
  <c r="X48" i="42"/>
  <c r="X46" i="42"/>
  <c r="X44" i="42"/>
  <c r="X42" i="42"/>
  <c r="X40" i="42"/>
  <c r="X38" i="42"/>
  <c r="X36" i="42"/>
  <c r="X34" i="42"/>
  <c r="X32" i="42"/>
  <c r="X30" i="42"/>
  <c r="X28" i="42"/>
  <c r="X26" i="42"/>
  <c r="S67" i="42"/>
  <c r="S65" i="42"/>
  <c r="S63" i="42"/>
  <c r="S61" i="42"/>
  <c r="S59" i="42"/>
  <c r="S57" i="42"/>
  <c r="S55" i="42"/>
  <c r="S53" i="42"/>
  <c r="S51" i="42"/>
  <c r="S49" i="42"/>
  <c r="S47" i="42"/>
  <c r="S45" i="42"/>
  <c r="S43" i="42"/>
  <c r="S41" i="42"/>
  <c r="S39" i="42"/>
  <c r="S37" i="42"/>
  <c r="S35" i="42"/>
  <c r="S33" i="42"/>
  <c r="S31" i="42"/>
  <c r="S29" i="42"/>
  <c r="S27" i="42"/>
  <c r="V67" i="42"/>
  <c r="V65" i="42"/>
  <c r="V63" i="42"/>
  <c r="V61" i="42"/>
  <c r="V59" i="42"/>
  <c r="V57" i="42"/>
  <c r="V55" i="42"/>
  <c r="V53" i="42"/>
  <c r="V51" i="42"/>
  <c r="V49" i="42"/>
  <c r="V47" i="42"/>
  <c r="V45" i="42"/>
  <c r="V43" i="42"/>
  <c r="V41" i="42"/>
  <c r="V39" i="42"/>
  <c r="V37" i="42"/>
  <c r="V35" i="42"/>
  <c r="V33" i="42"/>
  <c r="V31" i="42"/>
  <c r="V29" i="42"/>
  <c r="V27" i="42"/>
  <c r="U67" i="42"/>
  <c r="U63" i="42"/>
  <c r="U59" i="42"/>
  <c r="U55" i="42"/>
  <c r="U51" i="42"/>
  <c r="U47" i="42"/>
  <c r="U43" i="42"/>
  <c r="U39" i="42"/>
  <c r="U28" i="42"/>
  <c r="U7" i="42"/>
  <c r="U11" i="42"/>
  <c r="U15" i="42"/>
  <c r="U23" i="42"/>
  <c r="R7" i="42"/>
  <c r="R11" i="42"/>
  <c r="R15" i="42"/>
  <c r="R19" i="42"/>
  <c r="R23" i="42"/>
  <c r="W5" i="42"/>
  <c r="W9" i="42"/>
  <c r="W13" i="42"/>
  <c r="W17" i="42"/>
  <c r="W21" i="42"/>
  <c r="W25" i="42"/>
  <c r="U5" i="42"/>
  <c r="U13" i="42"/>
  <c r="U21" i="42"/>
  <c r="R6" i="42"/>
  <c r="R14" i="42"/>
  <c r="R20" i="42"/>
  <c r="R26" i="42"/>
  <c r="W10" i="42"/>
  <c r="W20" i="42"/>
  <c r="U37" i="42"/>
  <c r="U32" i="42"/>
  <c r="U27" i="42"/>
  <c r="U8" i="42"/>
  <c r="U12" i="42"/>
  <c r="U16" i="42"/>
  <c r="U20" i="42"/>
  <c r="U24" i="42"/>
  <c r="V5" i="42"/>
  <c r="V7" i="42"/>
  <c r="V9" i="42"/>
  <c r="V11" i="42"/>
  <c r="V13" i="42"/>
  <c r="V15" i="42"/>
  <c r="V17" i="42"/>
  <c r="V19" i="42"/>
  <c r="V21" i="42"/>
  <c r="V23" i="42"/>
  <c r="V25" i="42"/>
  <c r="S6" i="42"/>
  <c r="S8" i="42"/>
  <c r="S10" i="42"/>
  <c r="S12" i="42"/>
  <c r="S14" i="42"/>
  <c r="S16" i="42"/>
  <c r="S18" i="42"/>
  <c r="S20" i="42"/>
  <c r="S22" i="42"/>
  <c r="S24" i="42"/>
  <c r="S26" i="42"/>
  <c r="U9" i="42"/>
  <c r="R8" i="42"/>
  <c r="R18" i="42"/>
  <c r="W6" i="42"/>
  <c r="W14" i="42"/>
  <c r="W22" i="42"/>
  <c r="U36" i="42"/>
  <c r="U17" i="42"/>
  <c r="R12" i="42"/>
  <c r="R22" i="42"/>
  <c r="W8" i="42"/>
  <c r="W16" i="42"/>
  <c r="U35" i="42"/>
  <c r="U29" i="42"/>
  <c r="U6" i="42"/>
  <c r="U10" i="42"/>
  <c r="U14" i="42"/>
  <c r="U18" i="42"/>
  <c r="U22" i="42"/>
  <c r="U26" i="42"/>
  <c r="V6" i="42"/>
  <c r="V8" i="42"/>
  <c r="V10" i="42"/>
  <c r="V12" i="42"/>
  <c r="V14" i="42"/>
  <c r="V16" i="42"/>
  <c r="V18" i="42"/>
  <c r="V20" i="42"/>
  <c r="V22" i="42"/>
  <c r="V24" i="42"/>
  <c r="S5" i="42"/>
  <c r="S7" i="42"/>
  <c r="S9" i="42"/>
  <c r="S11" i="42"/>
  <c r="S13" i="42"/>
  <c r="S15" i="42"/>
  <c r="S17" i="42"/>
  <c r="S19" i="42"/>
  <c r="S21" i="42"/>
  <c r="S23" i="42"/>
  <c r="S25" i="42"/>
  <c r="U33" i="42"/>
  <c r="U19" i="42"/>
  <c r="R5" i="42"/>
  <c r="R9" i="42"/>
  <c r="R13" i="42"/>
  <c r="R17" i="42"/>
  <c r="R21" i="42"/>
  <c r="R25" i="42"/>
  <c r="W7" i="42"/>
  <c r="W11" i="42"/>
  <c r="W15" i="42"/>
  <c r="W19" i="42"/>
  <c r="W23" i="42"/>
  <c r="U31" i="42"/>
  <c r="U25" i="42"/>
  <c r="R10" i="42"/>
  <c r="R16" i="42"/>
  <c r="R24" i="42"/>
  <c r="W12" i="42"/>
  <c r="W18" i="42"/>
  <c r="W24" i="42"/>
  <c r="W4" i="42"/>
  <c r="D6" i="42"/>
  <c r="X5" i="42"/>
  <c r="D7" i="42"/>
  <c r="D54" i="42"/>
  <c r="D53" i="42"/>
  <c r="D44" i="42"/>
  <c r="D61" i="42"/>
  <c r="D66" i="42"/>
  <c r="D12" i="42"/>
  <c r="D55" i="42"/>
  <c r="D18" i="42"/>
  <c r="D15" i="42"/>
  <c r="D17" i="42"/>
  <c r="D13" i="42"/>
  <c r="D20" i="42"/>
  <c r="D42" i="42"/>
  <c r="C5" i="42"/>
  <c r="I4" i="42"/>
  <c r="K4" i="42"/>
  <c r="D14" i="42"/>
  <c r="D46" i="42"/>
  <c r="D28" i="42"/>
  <c r="D27" i="42"/>
  <c r="D26" i="42"/>
  <c r="D25" i="42"/>
  <c r="D19" i="42"/>
  <c r="X7" i="42"/>
  <c r="X4" i="42"/>
  <c r="L4" i="42"/>
  <c r="Q68" i="43"/>
  <c r="Q67" i="43"/>
  <c r="Q66" i="43"/>
  <c r="Q65" i="43"/>
  <c r="Q64" i="43"/>
  <c r="Q63" i="43"/>
  <c r="Q62" i="43"/>
  <c r="Q61" i="43"/>
  <c r="Q60" i="43"/>
  <c r="Q59" i="43"/>
  <c r="Q58" i="43"/>
  <c r="Q57" i="43"/>
  <c r="Q56" i="43"/>
  <c r="Q55" i="43"/>
  <c r="Q54" i="43"/>
  <c r="Q53" i="43"/>
  <c r="Q52" i="43"/>
  <c r="Q51" i="43"/>
  <c r="Q50" i="43"/>
  <c r="Q49" i="43"/>
  <c r="Q48" i="43"/>
  <c r="Q47" i="43"/>
  <c r="Q46" i="43"/>
  <c r="Q45" i="43"/>
  <c r="Q44" i="43"/>
  <c r="Q43" i="43"/>
  <c r="Q42" i="43"/>
  <c r="Q41" i="43"/>
  <c r="Q40" i="43"/>
  <c r="Q39" i="43"/>
  <c r="Q37" i="43"/>
  <c r="Q36" i="43"/>
  <c r="Q35" i="43"/>
  <c r="Q34" i="43"/>
  <c r="Q33" i="43"/>
  <c r="Q32" i="43"/>
  <c r="Q31" i="43"/>
  <c r="Q30" i="43"/>
  <c r="Q29" i="43"/>
  <c r="Q28" i="43"/>
  <c r="Q27" i="43"/>
  <c r="Q26" i="43"/>
  <c r="Q24" i="43"/>
  <c r="Q23" i="43"/>
  <c r="Q22" i="43"/>
  <c r="Q21" i="43"/>
  <c r="Q20" i="43"/>
  <c r="Q19" i="43"/>
  <c r="Q18" i="43"/>
  <c r="Q17" i="43"/>
  <c r="Q16" i="43"/>
  <c r="Q15" i="43"/>
  <c r="Q14" i="43"/>
  <c r="Q13" i="43"/>
  <c r="Q12" i="43"/>
  <c r="Q11" i="43"/>
  <c r="Q10" i="43"/>
  <c r="Q9" i="43"/>
  <c r="Q8" i="43"/>
  <c r="Q7" i="43"/>
  <c r="Q6" i="43"/>
  <c r="Q5" i="43"/>
  <c r="C4" i="43"/>
  <c r="Q38" i="43"/>
  <c r="C9" i="43"/>
  <c r="D9" i="43"/>
  <c r="E9" i="43"/>
  <c r="E8" i="43"/>
  <c r="E35" i="43"/>
  <c r="M68" i="43"/>
  <c r="E68" i="43"/>
  <c r="D68" i="43"/>
  <c r="C68" i="43"/>
  <c r="B68" i="43"/>
  <c r="A68" i="43"/>
  <c r="M67" i="43"/>
  <c r="E67" i="43"/>
  <c r="D67" i="43"/>
  <c r="C67" i="43"/>
  <c r="B67" i="43"/>
  <c r="A67" i="43"/>
  <c r="M66" i="43"/>
  <c r="E66" i="43"/>
  <c r="C66" i="43"/>
  <c r="B66" i="43"/>
  <c r="A66" i="43"/>
  <c r="M65" i="43"/>
  <c r="E65" i="43"/>
  <c r="D65" i="43"/>
  <c r="C65" i="43"/>
  <c r="B65" i="43"/>
  <c r="A65" i="43"/>
  <c r="M64" i="43"/>
  <c r="E64" i="43"/>
  <c r="D64" i="43"/>
  <c r="C64" i="43"/>
  <c r="B64" i="43"/>
  <c r="A64" i="43"/>
  <c r="M63" i="43"/>
  <c r="E63" i="43"/>
  <c r="D63" i="43"/>
  <c r="A63" i="43"/>
  <c r="M62" i="43"/>
  <c r="E62" i="43"/>
  <c r="D62" i="43"/>
  <c r="C62" i="43"/>
  <c r="M61" i="43"/>
  <c r="E61" i="43"/>
  <c r="C61" i="43"/>
  <c r="B61" i="43"/>
  <c r="A61" i="43"/>
  <c r="M60" i="43"/>
  <c r="E60" i="43"/>
  <c r="D60" i="43"/>
  <c r="C60" i="43"/>
  <c r="B60" i="43"/>
  <c r="A60" i="43"/>
  <c r="M59" i="43"/>
  <c r="E59" i="43"/>
  <c r="D59" i="43"/>
  <c r="C59" i="43"/>
  <c r="B59" i="43"/>
  <c r="A59" i="43"/>
  <c r="M58" i="43"/>
  <c r="E58" i="43"/>
  <c r="D58" i="43"/>
  <c r="C58" i="43"/>
  <c r="B58" i="43"/>
  <c r="A58" i="43"/>
  <c r="M57" i="43"/>
  <c r="E57" i="43"/>
  <c r="D57" i="43"/>
  <c r="A57" i="43"/>
  <c r="M56" i="43"/>
  <c r="E56" i="43"/>
  <c r="D56" i="43"/>
  <c r="C56" i="43"/>
  <c r="M55" i="43"/>
  <c r="E55" i="43"/>
  <c r="C55" i="43"/>
  <c r="B55" i="43"/>
  <c r="A55" i="43"/>
  <c r="M54" i="43"/>
  <c r="E54" i="43"/>
  <c r="C54" i="43"/>
  <c r="B54" i="43"/>
  <c r="A54" i="43"/>
  <c r="M53" i="43"/>
  <c r="E53" i="43"/>
  <c r="C53" i="43"/>
  <c r="B53" i="43"/>
  <c r="A53" i="43"/>
  <c r="M52" i="43"/>
  <c r="E52" i="43"/>
  <c r="D52" i="43"/>
  <c r="B52" i="43"/>
  <c r="A52" i="43"/>
  <c r="M51" i="43"/>
  <c r="E51" i="43"/>
  <c r="D51" i="43"/>
  <c r="M50" i="43"/>
  <c r="E50" i="43"/>
  <c r="D50" i="43"/>
  <c r="M49" i="43"/>
  <c r="E49" i="43"/>
  <c r="D49" i="43"/>
  <c r="C49" i="43"/>
  <c r="B49" i="43"/>
  <c r="A49" i="43"/>
  <c r="M48" i="43"/>
  <c r="E48" i="43"/>
  <c r="D48" i="43"/>
  <c r="C48" i="43"/>
  <c r="B48" i="43"/>
  <c r="A48" i="43"/>
  <c r="M47" i="43"/>
  <c r="E47" i="43"/>
  <c r="D47" i="43"/>
  <c r="C47" i="43"/>
  <c r="B47" i="43"/>
  <c r="A47" i="43"/>
  <c r="M46" i="43"/>
  <c r="E46" i="43"/>
  <c r="C46" i="43"/>
  <c r="B46" i="43"/>
  <c r="A46" i="43"/>
  <c r="M45" i="43"/>
  <c r="E45" i="43"/>
  <c r="D45" i="43"/>
  <c r="C45" i="43"/>
  <c r="B45" i="43"/>
  <c r="A45" i="43"/>
  <c r="M44" i="43"/>
  <c r="E44" i="43"/>
  <c r="C44" i="43"/>
  <c r="B44" i="43"/>
  <c r="A44" i="43"/>
  <c r="M43" i="43"/>
  <c r="E43" i="43"/>
  <c r="C43" i="43"/>
  <c r="B43" i="43"/>
  <c r="A43" i="43"/>
  <c r="M42" i="43"/>
  <c r="E42" i="43"/>
  <c r="C42" i="43"/>
  <c r="B42" i="43"/>
  <c r="A42" i="43"/>
  <c r="M41" i="43"/>
  <c r="E41" i="43"/>
  <c r="D41" i="43"/>
  <c r="B41" i="43"/>
  <c r="A41" i="43"/>
  <c r="M40" i="43"/>
  <c r="E40" i="43"/>
  <c r="D40" i="43"/>
  <c r="M39" i="43"/>
  <c r="E39" i="43"/>
  <c r="D39" i="43"/>
  <c r="C39" i="43"/>
  <c r="B39" i="43"/>
  <c r="A39" i="43"/>
  <c r="M38" i="43"/>
  <c r="B38" i="43"/>
  <c r="A38" i="43"/>
  <c r="M37" i="43"/>
  <c r="E37" i="43"/>
  <c r="D37" i="43"/>
  <c r="C37" i="43"/>
  <c r="B37" i="43"/>
  <c r="A37" i="43"/>
  <c r="M36" i="43"/>
  <c r="E36" i="43"/>
  <c r="D36" i="43"/>
  <c r="C36" i="43"/>
  <c r="B36" i="43"/>
  <c r="A36" i="43"/>
  <c r="M35" i="43"/>
  <c r="D35" i="43"/>
  <c r="C35" i="43"/>
  <c r="B35" i="43"/>
  <c r="A35" i="43"/>
  <c r="M34" i="43"/>
  <c r="E34" i="43"/>
  <c r="D34" i="43"/>
  <c r="C34" i="43"/>
  <c r="B34" i="43"/>
  <c r="A34" i="43"/>
  <c r="M33" i="43"/>
  <c r="E33" i="43"/>
  <c r="D33" i="43"/>
  <c r="C33" i="43"/>
  <c r="B33" i="43"/>
  <c r="A33" i="43"/>
  <c r="M32" i="43"/>
  <c r="E32" i="43"/>
  <c r="D32" i="43"/>
  <c r="M31" i="43"/>
  <c r="E31" i="43"/>
  <c r="D31" i="43"/>
  <c r="C31" i="43"/>
  <c r="B31" i="43"/>
  <c r="A31" i="43"/>
  <c r="M30" i="43"/>
  <c r="E30" i="43"/>
  <c r="D30" i="43"/>
  <c r="C30" i="43"/>
  <c r="B30" i="43"/>
  <c r="A30" i="43"/>
  <c r="M29" i="43"/>
  <c r="E29" i="43"/>
  <c r="D29" i="43"/>
  <c r="C29" i="43"/>
  <c r="B29" i="43"/>
  <c r="A29" i="43"/>
  <c r="M28" i="43"/>
  <c r="E28" i="43"/>
  <c r="C28" i="43"/>
  <c r="B28" i="43"/>
  <c r="A28" i="43"/>
  <c r="M27" i="43"/>
  <c r="E27" i="43"/>
  <c r="C27" i="43"/>
  <c r="B27" i="43"/>
  <c r="A27" i="43"/>
  <c r="M26" i="43"/>
  <c r="E26" i="43"/>
  <c r="C26" i="43"/>
  <c r="B26" i="43"/>
  <c r="A26" i="43"/>
  <c r="B25" i="43"/>
  <c r="A25" i="43"/>
  <c r="E24" i="43"/>
  <c r="C24" i="43"/>
  <c r="B24" i="43"/>
  <c r="A24" i="43"/>
  <c r="M23" i="43"/>
  <c r="M22" i="43"/>
  <c r="E22" i="43"/>
  <c r="D22" i="43"/>
  <c r="C22" i="43"/>
  <c r="B22" i="43"/>
  <c r="A22" i="43"/>
  <c r="M21" i="43"/>
  <c r="E21" i="43"/>
  <c r="D21" i="43"/>
  <c r="C21" i="43"/>
  <c r="B21" i="43"/>
  <c r="A21" i="43"/>
  <c r="M20" i="43"/>
  <c r="E20" i="43"/>
  <c r="C20" i="43"/>
  <c r="B20" i="43"/>
  <c r="A20" i="43"/>
  <c r="M19" i="43"/>
  <c r="E19" i="43"/>
  <c r="C19" i="43"/>
  <c r="B19" i="43"/>
  <c r="A19" i="43"/>
  <c r="M18" i="43"/>
  <c r="E18" i="43"/>
  <c r="C18" i="43"/>
  <c r="B18" i="43"/>
  <c r="A18" i="43"/>
  <c r="M17" i="43"/>
  <c r="E17" i="43"/>
  <c r="C17" i="43"/>
  <c r="B17" i="43"/>
  <c r="A17" i="43"/>
  <c r="M16" i="43"/>
  <c r="D16" i="43"/>
  <c r="M15" i="43"/>
  <c r="E15" i="43"/>
  <c r="C15" i="43"/>
  <c r="B15" i="43"/>
  <c r="A15" i="43"/>
  <c r="M14" i="43"/>
  <c r="E14" i="43"/>
  <c r="C14" i="43"/>
  <c r="B14" i="43"/>
  <c r="A14" i="43"/>
  <c r="M13" i="43"/>
  <c r="E13" i="43"/>
  <c r="C13" i="43"/>
  <c r="B13" i="43"/>
  <c r="A13" i="43"/>
  <c r="M12" i="43"/>
  <c r="E12" i="43"/>
  <c r="C12" i="43"/>
  <c r="B12" i="43"/>
  <c r="A12" i="43"/>
  <c r="M11" i="43"/>
  <c r="D11" i="43"/>
  <c r="B11" i="43"/>
  <c r="A11" i="43"/>
  <c r="M10" i="43"/>
  <c r="D10" i="43"/>
  <c r="B9" i="43"/>
  <c r="A9" i="43"/>
  <c r="C8" i="43"/>
  <c r="B8" i="43"/>
  <c r="A8" i="43"/>
  <c r="M7" i="43"/>
  <c r="E7" i="43"/>
  <c r="C7" i="43"/>
  <c r="B7" i="43"/>
  <c r="A7" i="43"/>
  <c r="M6" i="43"/>
  <c r="E6" i="43"/>
  <c r="C6" i="43"/>
  <c r="B6" i="43"/>
  <c r="A6" i="43"/>
  <c r="M5" i="43"/>
  <c r="B5" i="43"/>
  <c r="A5" i="43"/>
  <c r="B2" i="43"/>
  <c r="D43" i="43"/>
  <c r="M8" i="43"/>
  <c r="M9" i="43"/>
  <c r="M24" i="43"/>
  <c r="Q25" i="43"/>
  <c r="M25" i="43"/>
  <c r="V25" i="43"/>
  <c r="V8" i="43"/>
  <c r="V12" i="43"/>
  <c r="V16" i="43"/>
  <c r="V20" i="43"/>
  <c r="V5" i="43"/>
  <c r="V9" i="43"/>
  <c r="V13" i="43"/>
  <c r="V17" i="43"/>
  <c r="V23" i="43"/>
  <c r="V6" i="43"/>
  <c r="V10" i="43"/>
  <c r="V14" i="43"/>
  <c r="V18" i="43"/>
  <c r="V26" i="43"/>
  <c r="S8" i="43"/>
  <c r="S12" i="43"/>
  <c r="S16" i="43"/>
  <c r="R24" i="43"/>
  <c r="X67" i="43"/>
  <c r="X65" i="43"/>
  <c r="X63" i="43"/>
  <c r="X61" i="43"/>
  <c r="X59" i="43"/>
  <c r="X57" i="43"/>
  <c r="X55" i="43"/>
  <c r="X53" i="43"/>
  <c r="X51" i="43"/>
  <c r="X49" i="43"/>
  <c r="X47" i="43"/>
  <c r="X45" i="43"/>
  <c r="X43" i="43"/>
  <c r="X41" i="43"/>
  <c r="X39" i="43"/>
  <c r="X37" i="43"/>
  <c r="X35" i="43"/>
  <c r="X33" i="43"/>
  <c r="X31" i="43"/>
  <c r="X29" i="43"/>
  <c r="X27" i="43"/>
  <c r="S68" i="43"/>
  <c r="S66" i="43"/>
  <c r="S64" i="43"/>
  <c r="S62" i="43"/>
  <c r="S60" i="43"/>
  <c r="S58" i="43"/>
  <c r="S56" i="43"/>
  <c r="S54" i="43"/>
  <c r="S52" i="43"/>
  <c r="S50" i="43"/>
  <c r="S48" i="43"/>
  <c r="S46" i="43"/>
  <c r="S44" i="43"/>
  <c r="S42" i="43"/>
  <c r="S40" i="43"/>
  <c r="V67" i="43"/>
  <c r="V65" i="43"/>
  <c r="V63" i="43"/>
  <c r="V61" i="43"/>
  <c r="V59" i="43"/>
  <c r="V57" i="43"/>
  <c r="V55" i="43"/>
  <c r="V53" i="43"/>
  <c r="V51" i="43"/>
  <c r="V49" i="43"/>
  <c r="V47" i="43"/>
  <c r="U67" i="43"/>
  <c r="U63" i="43"/>
  <c r="U59" i="43"/>
  <c r="U55" i="43"/>
  <c r="U51" i="43"/>
  <c r="U47" i="43"/>
  <c r="U43" i="43"/>
  <c r="U39" i="43"/>
  <c r="U35" i="43"/>
  <c r="U7" i="43"/>
  <c r="U11" i="43"/>
  <c r="U15" i="43"/>
  <c r="U19" i="43"/>
  <c r="U23" i="43"/>
  <c r="R27" i="43"/>
  <c r="W29" i="43"/>
  <c r="S5" i="43"/>
  <c r="S9" i="43"/>
  <c r="S13" i="43"/>
  <c r="S17" i="43"/>
  <c r="R23" i="43"/>
  <c r="S6" i="43"/>
  <c r="S10" i="43"/>
  <c r="S14" i="43"/>
  <c r="S18" i="43"/>
  <c r="R26" i="43"/>
  <c r="S7" i="43"/>
  <c r="S11" i="43"/>
  <c r="S15" i="43"/>
  <c r="R21" i="43"/>
  <c r="R5" i="43"/>
  <c r="R9" i="43"/>
  <c r="R13" i="43"/>
  <c r="R17" i="43"/>
  <c r="T67" i="43"/>
  <c r="T65" i="43"/>
  <c r="T63" i="43"/>
  <c r="T61" i="43"/>
  <c r="T59" i="43"/>
  <c r="T57" i="43"/>
  <c r="T55" i="43"/>
  <c r="T53" i="43"/>
  <c r="T51" i="43"/>
  <c r="T49" i="43"/>
  <c r="T47" i="43"/>
  <c r="T45" i="43"/>
  <c r="T43" i="43"/>
  <c r="T41" i="43"/>
  <c r="T39" i="43"/>
  <c r="T37" i="43"/>
  <c r="T35" i="43"/>
  <c r="T33" i="43"/>
  <c r="T31" i="43"/>
  <c r="T29" i="43"/>
  <c r="T27" i="43"/>
  <c r="W67" i="43"/>
  <c r="W65" i="43"/>
  <c r="W63" i="43"/>
  <c r="W61" i="43"/>
  <c r="W59" i="43"/>
  <c r="W57" i="43"/>
  <c r="W55" i="43"/>
  <c r="W53" i="43"/>
  <c r="W51" i="43"/>
  <c r="W49" i="43"/>
  <c r="W47" i="43"/>
  <c r="W45" i="43"/>
  <c r="W43" i="43"/>
  <c r="W41" i="43"/>
  <c r="W39" i="43"/>
  <c r="R67" i="43"/>
  <c r="R65" i="43"/>
  <c r="R63" i="43"/>
  <c r="R61" i="43"/>
  <c r="R59" i="43"/>
  <c r="R57" i="43"/>
  <c r="R55" i="43"/>
  <c r="R53" i="43"/>
  <c r="R51" i="43"/>
  <c r="R49" i="43"/>
  <c r="R47" i="43"/>
  <c r="U66" i="43"/>
  <c r="U62" i="43"/>
  <c r="U58" i="43"/>
  <c r="U54" i="43"/>
  <c r="U50" i="43"/>
  <c r="U46" i="43"/>
  <c r="U42" i="43"/>
  <c r="U38" i="43"/>
  <c r="U34" i="43"/>
  <c r="U8" i="43"/>
  <c r="U12" i="43"/>
  <c r="U16" i="43"/>
  <c r="U20" i="43"/>
  <c r="U24" i="43"/>
  <c r="W27" i="43"/>
  <c r="U30" i="43"/>
  <c r="R33" i="43"/>
  <c r="R6" i="43"/>
  <c r="R10" i="43"/>
  <c r="R14" i="43"/>
  <c r="R18" i="43"/>
  <c r="V24" i="43"/>
  <c r="R7" i="43"/>
  <c r="R11" i="43"/>
  <c r="R15" i="43"/>
  <c r="V19" i="43"/>
  <c r="T9" i="43"/>
  <c r="R8" i="43"/>
  <c r="R12" i="43"/>
  <c r="R16" i="43"/>
  <c r="V22" i="43"/>
  <c r="W6" i="43"/>
  <c r="W10" i="43"/>
  <c r="W14" i="43"/>
  <c r="R20" i="43"/>
  <c r="X68" i="43"/>
  <c r="X66" i="43"/>
  <c r="X64" i="43"/>
  <c r="X62" i="43"/>
  <c r="X60" i="43"/>
  <c r="X58" i="43"/>
  <c r="X56" i="43"/>
  <c r="X54" i="43"/>
  <c r="X52" i="43"/>
  <c r="X50" i="43"/>
  <c r="X48" i="43"/>
  <c r="X46" i="43"/>
  <c r="X44" i="43"/>
  <c r="X42" i="43"/>
  <c r="X40" i="43"/>
  <c r="X38" i="43"/>
  <c r="X36" i="43"/>
  <c r="X34" i="43"/>
  <c r="X32" i="43"/>
  <c r="X30" i="43"/>
  <c r="X28" i="43"/>
  <c r="X26" i="43"/>
  <c r="S67" i="43"/>
  <c r="S65" i="43"/>
  <c r="S63" i="43"/>
  <c r="S61" i="43"/>
  <c r="S59" i="43"/>
  <c r="S57" i="43"/>
  <c r="S55" i="43"/>
  <c r="S53" i="43"/>
  <c r="S51" i="43"/>
  <c r="S49" i="43"/>
  <c r="S47" i="43"/>
  <c r="S45" i="43"/>
  <c r="S43" i="43"/>
  <c r="S41" i="43"/>
  <c r="V68" i="43"/>
  <c r="V66" i="43"/>
  <c r="V64" i="43"/>
  <c r="V62" i="43"/>
  <c r="V60" i="43"/>
  <c r="V58" i="43"/>
  <c r="V56" i="43"/>
  <c r="V54" i="43"/>
  <c r="V52" i="43"/>
  <c r="V50" i="43"/>
  <c r="V48" i="43"/>
  <c r="V46" i="43"/>
  <c r="U65" i="43"/>
  <c r="U61" i="43"/>
  <c r="U57" i="43"/>
  <c r="U53" i="43"/>
  <c r="U49" i="43"/>
  <c r="U45" i="43"/>
  <c r="U41" i="43"/>
  <c r="U37" i="43"/>
  <c r="U5" i="43"/>
  <c r="U9" i="43"/>
  <c r="U13" i="43"/>
  <c r="U17" i="43"/>
  <c r="U21" i="43"/>
  <c r="U25" i="43"/>
  <c r="U28" i="43"/>
  <c r="R31" i="43"/>
  <c r="W33" i="43"/>
  <c r="W7" i="43"/>
  <c r="W11" i="43"/>
  <c r="W15" i="43"/>
  <c r="R19" i="43"/>
  <c r="S27" i="43"/>
  <c r="W8" i="43"/>
  <c r="W12" i="43"/>
  <c r="W16" i="43"/>
  <c r="R22" i="43"/>
  <c r="W5" i="43"/>
  <c r="W9" i="43"/>
  <c r="W13" i="43"/>
  <c r="W17" i="43"/>
  <c r="R25" i="43"/>
  <c r="V7" i="43"/>
  <c r="V11" i="43"/>
  <c r="V15" i="43"/>
  <c r="V21" i="43"/>
  <c r="T68" i="43"/>
  <c r="T66" i="43"/>
  <c r="T64" i="43"/>
  <c r="T62" i="43"/>
  <c r="T60" i="43"/>
  <c r="T58" i="43"/>
  <c r="T56" i="43"/>
  <c r="T54" i="43"/>
  <c r="T52" i="43"/>
  <c r="T50" i="43"/>
  <c r="T48" i="43"/>
  <c r="T46" i="43"/>
  <c r="T44" i="43"/>
  <c r="T42" i="43"/>
  <c r="T40" i="43"/>
  <c r="T38" i="43"/>
  <c r="T36" i="43"/>
  <c r="T34" i="43"/>
  <c r="T32" i="43"/>
  <c r="T30" i="43"/>
  <c r="T28" i="43"/>
  <c r="W68" i="43"/>
  <c r="W66" i="43"/>
  <c r="W64" i="43"/>
  <c r="W62" i="43"/>
  <c r="W60" i="43"/>
  <c r="W58" i="43"/>
  <c r="W56" i="43"/>
  <c r="W54" i="43"/>
  <c r="W52" i="43"/>
  <c r="W50" i="43"/>
  <c r="W48" i="43"/>
  <c r="W46" i="43"/>
  <c r="W44" i="43"/>
  <c r="W42" i="43"/>
  <c r="W40" i="43"/>
  <c r="R68" i="43"/>
  <c r="R66" i="43"/>
  <c r="R64" i="43"/>
  <c r="R62" i="43"/>
  <c r="R60" i="43"/>
  <c r="R58" i="43"/>
  <c r="R56" i="43"/>
  <c r="R54" i="43"/>
  <c r="R52" i="43"/>
  <c r="R50" i="43"/>
  <c r="R48" i="43"/>
  <c r="U68" i="43"/>
  <c r="U64" i="43"/>
  <c r="U60" i="43"/>
  <c r="U56" i="43"/>
  <c r="U52" i="43"/>
  <c r="U48" i="43"/>
  <c r="U44" i="43"/>
  <c r="U40" i="43"/>
  <c r="U36" i="43"/>
  <c r="U6" i="43"/>
  <c r="U10" i="43"/>
  <c r="U14" i="43"/>
  <c r="U18" i="43"/>
  <c r="U22" i="43"/>
  <c r="U26" i="43"/>
  <c r="R29" i="43"/>
  <c r="W31" i="43"/>
  <c r="V34" i="43"/>
  <c r="V38" i="43"/>
  <c r="V44" i="43"/>
  <c r="W37" i="43"/>
  <c r="V28" i="43"/>
  <c r="V32" i="43"/>
  <c r="S36" i="43"/>
  <c r="R42" i="43"/>
  <c r="S19" i="43"/>
  <c r="S21" i="43"/>
  <c r="S23" i="43"/>
  <c r="S25" i="43"/>
  <c r="U27" i="43"/>
  <c r="R30" i="43"/>
  <c r="W32" i="43"/>
  <c r="V36" i="43"/>
  <c r="V42" i="43"/>
  <c r="T6" i="43"/>
  <c r="T8" i="43"/>
  <c r="X10" i="43"/>
  <c r="X12" i="43"/>
  <c r="X14" i="43"/>
  <c r="X16" i="43"/>
  <c r="X18" i="43"/>
  <c r="X20" i="43"/>
  <c r="X22" i="43"/>
  <c r="X24" i="43"/>
  <c r="V27" i="43"/>
  <c r="V31" i="43"/>
  <c r="R35" i="43"/>
  <c r="R39" i="43"/>
  <c r="V45" i="43"/>
  <c r="U32" i="43"/>
  <c r="S39" i="43"/>
  <c r="S29" i="43"/>
  <c r="S33" i="43"/>
  <c r="R37" i="43"/>
  <c r="V43" i="43"/>
  <c r="W19" i="43"/>
  <c r="W21" i="43"/>
  <c r="W23" i="43"/>
  <c r="W25" i="43"/>
  <c r="R28" i="43"/>
  <c r="W30" i="43"/>
  <c r="U33" i="43"/>
  <c r="S37" i="43"/>
  <c r="R45" i="43"/>
  <c r="X6" i="43"/>
  <c r="X8" i="43"/>
  <c r="T11" i="43"/>
  <c r="T13" i="43"/>
  <c r="T15" i="43"/>
  <c r="T17" i="43"/>
  <c r="T19" i="43"/>
  <c r="T21" i="43"/>
  <c r="T23" i="43"/>
  <c r="T25" i="43"/>
  <c r="S28" i="43"/>
  <c r="S32" i="43"/>
  <c r="W36" i="43"/>
  <c r="R40" i="43"/>
  <c r="S35" i="43"/>
  <c r="V40" i="43"/>
  <c r="V30" i="43"/>
  <c r="W34" i="43"/>
  <c r="W38" i="43"/>
  <c r="R46" i="43"/>
  <c r="S20" i="43"/>
  <c r="S22" i="43"/>
  <c r="S24" i="43"/>
  <c r="S26" i="43"/>
  <c r="W28" i="43"/>
  <c r="U31" i="43"/>
  <c r="R34" i="43"/>
  <c r="R38" i="43"/>
  <c r="T5" i="43"/>
  <c r="T7" i="43"/>
  <c r="X9" i="43"/>
  <c r="X11" i="43"/>
  <c r="X13" i="43"/>
  <c r="X15" i="43"/>
  <c r="X17" i="43"/>
  <c r="X19" i="43"/>
  <c r="X21" i="43"/>
  <c r="X23" i="43"/>
  <c r="X25" i="43"/>
  <c r="V29" i="43"/>
  <c r="V33" i="43"/>
  <c r="V37" i="43"/>
  <c r="V41" i="43"/>
  <c r="R36" i="43"/>
  <c r="R43" i="43"/>
  <c r="S31" i="43"/>
  <c r="V35" i="43"/>
  <c r="V39" i="43"/>
  <c r="W18" i="43"/>
  <c r="W20" i="43"/>
  <c r="W22" i="43"/>
  <c r="W24" i="43"/>
  <c r="W26" i="43"/>
  <c r="U29" i="43"/>
  <c r="R32" i="43"/>
  <c r="W35" i="43"/>
  <c r="R41" i="43"/>
  <c r="X7" i="43"/>
  <c r="T10" i="43"/>
  <c r="T12" i="43"/>
  <c r="T14" i="43"/>
  <c r="T16" i="43"/>
  <c r="T18" i="43"/>
  <c r="T20" i="43"/>
  <c r="T22" i="43"/>
  <c r="T24" i="43"/>
  <c r="T26" i="43"/>
  <c r="S30" i="43"/>
  <c r="S34" i="43"/>
  <c r="S38" i="43"/>
  <c r="R44" i="43"/>
  <c r="M4" i="43"/>
  <c r="W4" i="43"/>
  <c r="D6" i="43"/>
  <c r="D8" i="43"/>
  <c r="D7" i="43"/>
  <c r="D54" i="43"/>
  <c r="D53" i="43"/>
  <c r="D44" i="43"/>
  <c r="D61" i="43"/>
  <c r="D66" i="43"/>
  <c r="D12" i="43"/>
  <c r="D55" i="43"/>
  <c r="D18" i="43"/>
  <c r="D15" i="43"/>
  <c r="D17" i="43"/>
  <c r="D13" i="43"/>
  <c r="D20" i="43"/>
  <c r="D42" i="43"/>
  <c r="C5" i="43"/>
  <c r="I4" i="43"/>
  <c r="D14" i="43"/>
  <c r="D46" i="43"/>
  <c r="D28" i="43"/>
  <c r="D27" i="43"/>
  <c r="D26" i="43"/>
  <c r="D24" i="43"/>
  <c r="D19" i="43"/>
  <c r="K4" i="43"/>
  <c r="X5" i="43"/>
  <c r="X4" i="43"/>
  <c r="L4" i="43"/>
  <c r="Q68" i="48"/>
  <c r="Q67" i="48"/>
  <c r="Q66" i="48"/>
  <c r="Q65" i="48"/>
  <c r="Q64" i="48"/>
  <c r="Q63" i="48"/>
  <c r="Q62" i="48"/>
  <c r="Q61" i="48"/>
  <c r="Q60" i="48"/>
  <c r="Q59" i="48"/>
  <c r="Q58" i="48"/>
  <c r="Q57" i="48"/>
  <c r="Q56" i="48"/>
  <c r="Q55" i="48"/>
  <c r="Q54" i="48"/>
  <c r="Q53" i="48"/>
  <c r="Q52" i="48"/>
  <c r="Q51" i="48"/>
  <c r="Q50" i="48"/>
  <c r="Q49" i="48"/>
  <c r="Q48" i="48"/>
  <c r="Q47" i="48"/>
  <c r="Q46" i="48"/>
  <c r="Q45" i="48"/>
  <c r="Q44" i="48"/>
  <c r="Q43" i="48"/>
  <c r="Q42" i="48"/>
  <c r="Q41" i="48"/>
  <c r="Q40" i="48"/>
  <c r="Q38" i="48"/>
  <c r="Q37" i="48"/>
  <c r="Q36" i="48"/>
  <c r="Q35" i="48"/>
  <c r="Q34" i="48"/>
  <c r="Q33" i="48"/>
  <c r="Q32" i="48"/>
  <c r="Q31" i="48"/>
  <c r="Q30" i="48"/>
  <c r="Q29" i="48"/>
  <c r="Q28" i="48"/>
  <c r="Q27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Q9" i="48"/>
  <c r="Q8" i="48"/>
  <c r="Q7" i="48"/>
  <c r="Q6" i="48"/>
  <c r="Q5" i="48"/>
  <c r="C4" i="48"/>
  <c r="M68" i="48"/>
  <c r="E68" i="48"/>
  <c r="D68" i="48"/>
  <c r="C68" i="48"/>
  <c r="B68" i="48"/>
  <c r="A68" i="48"/>
  <c r="M67" i="48"/>
  <c r="E67" i="48"/>
  <c r="D67" i="48"/>
  <c r="C67" i="48"/>
  <c r="B67" i="48"/>
  <c r="A67" i="48"/>
  <c r="M66" i="48"/>
  <c r="E66" i="48"/>
  <c r="C66" i="48"/>
  <c r="B66" i="48"/>
  <c r="A66" i="48"/>
  <c r="M65" i="48"/>
  <c r="E65" i="48"/>
  <c r="D65" i="48"/>
  <c r="C65" i="48"/>
  <c r="B65" i="48"/>
  <c r="A65" i="48"/>
  <c r="M64" i="48"/>
  <c r="E64" i="48"/>
  <c r="D64" i="48"/>
  <c r="C64" i="48"/>
  <c r="B64" i="48"/>
  <c r="A64" i="48"/>
  <c r="M63" i="48"/>
  <c r="E63" i="48"/>
  <c r="D63" i="48"/>
  <c r="A63" i="48"/>
  <c r="M62" i="48"/>
  <c r="E62" i="48"/>
  <c r="D62" i="48"/>
  <c r="C62" i="48"/>
  <c r="M61" i="48"/>
  <c r="E61" i="48"/>
  <c r="C61" i="48"/>
  <c r="B61" i="48"/>
  <c r="A61" i="48"/>
  <c r="M60" i="48"/>
  <c r="E60" i="48"/>
  <c r="D60" i="48"/>
  <c r="C60" i="48"/>
  <c r="B60" i="48"/>
  <c r="A60" i="48"/>
  <c r="M59" i="48"/>
  <c r="E59" i="48"/>
  <c r="D59" i="48"/>
  <c r="C59" i="48"/>
  <c r="B59" i="48"/>
  <c r="A59" i="48"/>
  <c r="M58" i="48"/>
  <c r="E58" i="48"/>
  <c r="D58" i="48"/>
  <c r="C58" i="48"/>
  <c r="B58" i="48"/>
  <c r="A58" i="48"/>
  <c r="M57" i="48"/>
  <c r="E57" i="48"/>
  <c r="D57" i="48"/>
  <c r="A57" i="48"/>
  <c r="M56" i="48"/>
  <c r="E56" i="48"/>
  <c r="D56" i="48"/>
  <c r="C56" i="48"/>
  <c r="M55" i="48"/>
  <c r="E55" i="48"/>
  <c r="C55" i="48"/>
  <c r="B55" i="48"/>
  <c r="A55" i="48"/>
  <c r="M54" i="48"/>
  <c r="E54" i="48"/>
  <c r="C54" i="48"/>
  <c r="B54" i="48"/>
  <c r="A54" i="48"/>
  <c r="M53" i="48"/>
  <c r="E53" i="48"/>
  <c r="C53" i="48"/>
  <c r="B53" i="48"/>
  <c r="A53" i="48"/>
  <c r="M52" i="48"/>
  <c r="E52" i="48"/>
  <c r="D52" i="48"/>
  <c r="B52" i="48"/>
  <c r="A52" i="48"/>
  <c r="M51" i="48"/>
  <c r="E51" i="48"/>
  <c r="D51" i="48"/>
  <c r="M50" i="48"/>
  <c r="E50" i="48"/>
  <c r="D50" i="48"/>
  <c r="M49" i="48"/>
  <c r="E49" i="48"/>
  <c r="D49" i="48"/>
  <c r="C49" i="48"/>
  <c r="B49" i="48"/>
  <c r="A49" i="48"/>
  <c r="M48" i="48"/>
  <c r="E48" i="48"/>
  <c r="D48" i="48"/>
  <c r="C48" i="48"/>
  <c r="B48" i="48"/>
  <c r="A48" i="48"/>
  <c r="M47" i="48"/>
  <c r="E47" i="48"/>
  <c r="D47" i="48"/>
  <c r="C47" i="48"/>
  <c r="B47" i="48"/>
  <c r="A47" i="48"/>
  <c r="M46" i="48"/>
  <c r="E46" i="48"/>
  <c r="C46" i="48"/>
  <c r="B46" i="48"/>
  <c r="A46" i="48"/>
  <c r="M45" i="48"/>
  <c r="E45" i="48"/>
  <c r="D45" i="48"/>
  <c r="C45" i="48"/>
  <c r="B45" i="48"/>
  <c r="A45" i="48"/>
  <c r="M44" i="48"/>
  <c r="E44" i="48"/>
  <c r="C44" i="48"/>
  <c r="B44" i="48"/>
  <c r="A44" i="48"/>
  <c r="M43" i="48"/>
  <c r="E43" i="48"/>
  <c r="C43" i="48"/>
  <c r="B43" i="48"/>
  <c r="A43" i="48"/>
  <c r="M42" i="48"/>
  <c r="E42" i="48"/>
  <c r="C42" i="48"/>
  <c r="B42" i="48"/>
  <c r="A42" i="48"/>
  <c r="M41" i="48"/>
  <c r="E41" i="48"/>
  <c r="D41" i="48"/>
  <c r="B41" i="48"/>
  <c r="A41" i="48"/>
  <c r="M40" i="48"/>
  <c r="E40" i="48"/>
  <c r="D40" i="48"/>
  <c r="B39" i="48"/>
  <c r="A39" i="48"/>
  <c r="M38" i="48"/>
  <c r="E38" i="48"/>
  <c r="D38" i="48"/>
  <c r="C38" i="48"/>
  <c r="B38" i="48"/>
  <c r="A38" i="48"/>
  <c r="M37" i="48"/>
  <c r="E37" i="48"/>
  <c r="D37" i="48"/>
  <c r="C37" i="48"/>
  <c r="B37" i="48"/>
  <c r="A37" i="48"/>
  <c r="M36" i="48"/>
  <c r="E36" i="48"/>
  <c r="D36" i="48"/>
  <c r="C36" i="48"/>
  <c r="B36" i="48"/>
  <c r="A36" i="48"/>
  <c r="M35" i="48"/>
  <c r="E35" i="48"/>
  <c r="D35" i="48"/>
  <c r="C35" i="48"/>
  <c r="B35" i="48"/>
  <c r="A35" i="48"/>
  <c r="M34" i="48"/>
  <c r="E34" i="48"/>
  <c r="D34" i="48"/>
  <c r="C34" i="48"/>
  <c r="B34" i="48"/>
  <c r="A34" i="48"/>
  <c r="M33" i="48"/>
  <c r="E33" i="48"/>
  <c r="D33" i="48"/>
  <c r="C33" i="48"/>
  <c r="B33" i="48"/>
  <c r="A33" i="48"/>
  <c r="M32" i="48"/>
  <c r="E32" i="48"/>
  <c r="D32" i="48"/>
  <c r="M31" i="48"/>
  <c r="E31" i="48"/>
  <c r="D31" i="48"/>
  <c r="C31" i="48"/>
  <c r="B31" i="48"/>
  <c r="A31" i="48"/>
  <c r="M30" i="48"/>
  <c r="E30" i="48"/>
  <c r="D30" i="48"/>
  <c r="C30" i="48"/>
  <c r="B30" i="48"/>
  <c r="A30" i="48"/>
  <c r="M29" i="48"/>
  <c r="E29" i="48"/>
  <c r="D29" i="48"/>
  <c r="C29" i="48"/>
  <c r="B29" i="48"/>
  <c r="A29" i="48"/>
  <c r="M28" i="48"/>
  <c r="E28" i="48"/>
  <c r="C28" i="48"/>
  <c r="B28" i="48"/>
  <c r="A28" i="48"/>
  <c r="M27" i="48"/>
  <c r="E27" i="48"/>
  <c r="C27" i="48"/>
  <c r="B27" i="48"/>
  <c r="A27" i="48"/>
  <c r="B26" i="48"/>
  <c r="A26" i="48"/>
  <c r="M25" i="48"/>
  <c r="E25" i="48"/>
  <c r="C25" i="48"/>
  <c r="B25" i="48"/>
  <c r="A25" i="48"/>
  <c r="M24" i="48"/>
  <c r="E24" i="48"/>
  <c r="C24" i="48"/>
  <c r="B24" i="48"/>
  <c r="A24" i="48"/>
  <c r="M23" i="48"/>
  <c r="M22" i="48"/>
  <c r="E22" i="48"/>
  <c r="D22" i="48"/>
  <c r="C22" i="48"/>
  <c r="B22" i="48"/>
  <c r="A22" i="48"/>
  <c r="M21" i="48"/>
  <c r="E21" i="48"/>
  <c r="D21" i="48"/>
  <c r="C21" i="48"/>
  <c r="B21" i="48"/>
  <c r="A21" i="48"/>
  <c r="M20" i="48"/>
  <c r="E20" i="48"/>
  <c r="C20" i="48"/>
  <c r="B20" i="48"/>
  <c r="A20" i="48"/>
  <c r="M19" i="48"/>
  <c r="E19" i="48"/>
  <c r="C19" i="48"/>
  <c r="B19" i="48"/>
  <c r="A19" i="48"/>
  <c r="M18" i="48"/>
  <c r="E18" i="48"/>
  <c r="C18" i="48"/>
  <c r="B18" i="48"/>
  <c r="A18" i="48"/>
  <c r="M17" i="48"/>
  <c r="E17" i="48"/>
  <c r="C17" i="48"/>
  <c r="B17" i="48"/>
  <c r="A17" i="48"/>
  <c r="M16" i="48"/>
  <c r="D16" i="48"/>
  <c r="M15" i="48"/>
  <c r="E15" i="48"/>
  <c r="C15" i="48"/>
  <c r="B15" i="48"/>
  <c r="A15" i="48"/>
  <c r="M14" i="48"/>
  <c r="E14" i="48"/>
  <c r="C14" i="48"/>
  <c r="B14" i="48"/>
  <c r="A14" i="48"/>
  <c r="M13" i="48"/>
  <c r="E13" i="48"/>
  <c r="C13" i="48"/>
  <c r="B13" i="48"/>
  <c r="A13" i="48"/>
  <c r="M12" i="48"/>
  <c r="E12" i="48"/>
  <c r="C12" i="48"/>
  <c r="B12" i="48"/>
  <c r="A12" i="48"/>
  <c r="M11" i="48"/>
  <c r="D11" i="48"/>
  <c r="B11" i="48"/>
  <c r="A11" i="48"/>
  <c r="M10" i="48"/>
  <c r="D10" i="48"/>
  <c r="E9" i="48"/>
  <c r="C9" i="48"/>
  <c r="B9" i="48"/>
  <c r="A9" i="48"/>
  <c r="E8" i="48"/>
  <c r="C8" i="48"/>
  <c r="B8" i="48"/>
  <c r="A8" i="48"/>
  <c r="M7" i="48"/>
  <c r="E7" i="48"/>
  <c r="C7" i="48"/>
  <c r="B7" i="48"/>
  <c r="A7" i="48"/>
  <c r="M6" i="48"/>
  <c r="E6" i="48"/>
  <c r="C6" i="48"/>
  <c r="B6" i="48"/>
  <c r="A6" i="48"/>
  <c r="M5" i="48"/>
  <c r="B5" i="48"/>
  <c r="A5" i="48"/>
  <c r="B2" i="48"/>
  <c r="M39" i="48"/>
  <c r="Q39" i="48"/>
  <c r="D43" i="48"/>
  <c r="M9" i="48"/>
  <c r="M8" i="48"/>
  <c r="M26" i="48"/>
  <c r="Q26" i="48"/>
  <c r="T5" i="48"/>
  <c r="T26" i="48"/>
  <c r="T7" i="48"/>
  <c r="T9" i="48"/>
  <c r="T11" i="48"/>
  <c r="T13" i="48"/>
  <c r="T15" i="48"/>
  <c r="T17" i="48"/>
  <c r="T19" i="48"/>
  <c r="T21" i="48"/>
  <c r="T23" i="48"/>
  <c r="T25" i="48"/>
  <c r="X67" i="48"/>
  <c r="X65" i="48"/>
  <c r="X63" i="48"/>
  <c r="X61" i="48"/>
  <c r="X59" i="48"/>
  <c r="X57" i="48"/>
  <c r="X55" i="48"/>
  <c r="X53" i="48"/>
  <c r="X51" i="48"/>
  <c r="X49" i="48"/>
  <c r="X47" i="48"/>
  <c r="X45" i="48"/>
  <c r="X43" i="48"/>
  <c r="X41" i="48"/>
  <c r="X39" i="48"/>
  <c r="X37" i="48"/>
  <c r="X35" i="48"/>
  <c r="X33" i="48"/>
  <c r="X31" i="48"/>
  <c r="X29" i="48"/>
  <c r="X27" i="48"/>
  <c r="S67" i="48"/>
  <c r="S65" i="48"/>
  <c r="S63" i="48"/>
  <c r="S61" i="48"/>
  <c r="S59" i="48"/>
  <c r="S57" i="48"/>
  <c r="S55" i="48"/>
  <c r="S53" i="48"/>
  <c r="S51" i="48"/>
  <c r="S49" i="48"/>
  <c r="S47" i="48"/>
  <c r="S45" i="48"/>
  <c r="S43" i="48"/>
  <c r="S41" i="48"/>
  <c r="S39" i="48"/>
  <c r="S37" i="48"/>
  <c r="S35" i="48"/>
  <c r="S33" i="48"/>
  <c r="S31" i="48"/>
  <c r="S29" i="48"/>
  <c r="V68" i="48"/>
  <c r="V66" i="48"/>
  <c r="V64" i="48"/>
  <c r="V62" i="48"/>
  <c r="V60" i="48"/>
  <c r="V58" i="48"/>
  <c r="V56" i="48"/>
  <c r="V54" i="48"/>
  <c r="V52" i="48"/>
  <c r="V50" i="48"/>
  <c r="V48" i="48"/>
  <c r="V46" i="48"/>
  <c r="V44" i="48"/>
  <c r="V42" i="48"/>
  <c r="V40" i="48"/>
  <c r="V38" i="48"/>
  <c r="V36" i="48"/>
  <c r="V34" i="48"/>
  <c r="V32" i="48"/>
  <c r="V30" i="48"/>
  <c r="V28" i="48"/>
  <c r="V26" i="48"/>
  <c r="U65" i="48"/>
  <c r="U61" i="48"/>
  <c r="U57" i="48"/>
  <c r="U53" i="48"/>
  <c r="U49" i="48"/>
  <c r="U45" i="48"/>
  <c r="U41" i="48"/>
  <c r="U37" i="48"/>
  <c r="U6" i="48"/>
  <c r="U10" i="48"/>
  <c r="U14" i="48"/>
  <c r="X7" i="48"/>
  <c r="X9" i="48"/>
  <c r="X11" i="48"/>
  <c r="X13" i="48"/>
  <c r="X15" i="48"/>
  <c r="X17" i="48"/>
  <c r="X19" i="48"/>
  <c r="X21" i="48"/>
  <c r="X23" i="48"/>
  <c r="X25" i="48"/>
  <c r="T67" i="48"/>
  <c r="T65" i="48"/>
  <c r="T63" i="48"/>
  <c r="T61" i="48"/>
  <c r="T59" i="48"/>
  <c r="T57" i="48"/>
  <c r="T55" i="48"/>
  <c r="T53" i="48"/>
  <c r="T51" i="48"/>
  <c r="T49" i="48"/>
  <c r="T47" i="48"/>
  <c r="T45" i="48"/>
  <c r="T43" i="48"/>
  <c r="T41" i="48"/>
  <c r="T39" i="48"/>
  <c r="T37" i="48"/>
  <c r="T35" i="48"/>
  <c r="T33" i="48"/>
  <c r="T31" i="48"/>
  <c r="T29" i="48"/>
  <c r="W68" i="48"/>
  <c r="W66" i="48"/>
  <c r="W64" i="48"/>
  <c r="W62" i="48"/>
  <c r="W60" i="48"/>
  <c r="W58" i="48"/>
  <c r="W56" i="48"/>
  <c r="W54" i="48"/>
  <c r="W52" i="48"/>
  <c r="W50" i="48"/>
  <c r="W48" i="48"/>
  <c r="W46" i="48"/>
  <c r="W44" i="48"/>
  <c r="W42" i="48"/>
  <c r="W40" i="48"/>
  <c r="W38" i="48"/>
  <c r="W36" i="48"/>
  <c r="W34" i="48"/>
  <c r="W32" i="48"/>
  <c r="W30" i="48"/>
  <c r="W28" i="48"/>
  <c r="R68" i="48"/>
  <c r="R66" i="48"/>
  <c r="R64" i="48"/>
  <c r="R62" i="48"/>
  <c r="R60" i="48"/>
  <c r="R58" i="48"/>
  <c r="R56" i="48"/>
  <c r="R54" i="48"/>
  <c r="R52" i="48"/>
  <c r="R50" i="48"/>
  <c r="R48" i="48"/>
  <c r="R46" i="48"/>
  <c r="R44" i="48"/>
  <c r="R42" i="48"/>
  <c r="R40" i="48"/>
  <c r="R38" i="48"/>
  <c r="R36" i="48"/>
  <c r="R34" i="48"/>
  <c r="R32" i="48"/>
  <c r="R30" i="48"/>
  <c r="R28" i="48"/>
  <c r="U68" i="48"/>
  <c r="U64" i="48"/>
  <c r="U60" i="48"/>
  <c r="U56" i="48"/>
  <c r="U52" i="48"/>
  <c r="U48" i="48"/>
  <c r="U44" i="48"/>
  <c r="U40" i="48"/>
  <c r="U36" i="48"/>
  <c r="U7" i="48"/>
  <c r="U11" i="48"/>
  <c r="U15" i="48"/>
  <c r="T6" i="48"/>
  <c r="T8" i="48"/>
  <c r="T10" i="48"/>
  <c r="T12" i="48"/>
  <c r="T14" i="48"/>
  <c r="T16" i="48"/>
  <c r="T18" i="48"/>
  <c r="T20" i="48"/>
  <c r="T22" i="48"/>
  <c r="T24" i="48"/>
  <c r="X68" i="48"/>
  <c r="X66" i="48"/>
  <c r="X64" i="48"/>
  <c r="X62" i="48"/>
  <c r="X60" i="48"/>
  <c r="X58" i="48"/>
  <c r="X56" i="48"/>
  <c r="X54" i="48"/>
  <c r="X52" i="48"/>
  <c r="X50" i="48"/>
  <c r="X48" i="48"/>
  <c r="X46" i="48"/>
  <c r="X44" i="48"/>
  <c r="X42" i="48"/>
  <c r="X40" i="48"/>
  <c r="X38" i="48"/>
  <c r="X36" i="48"/>
  <c r="X34" i="48"/>
  <c r="X32" i="48"/>
  <c r="X30" i="48"/>
  <c r="X28" i="48"/>
  <c r="S68" i="48"/>
  <c r="S66" i="48"/>
  <c r="S64" i="48"/>
  <c r="S62" i="48"/>
  <c r="S60" i="48"/>
  <c r="S58" i="48"/>
  <c r="S56" i="48"/>
  <c r="S54" i="48"/>
  <c r="S52" i="48"/>
  <c r="S50" i="48"/>
  <c r="S48" i="48"/>
  <c r="S46" i="48"/>
  <c r="S44" i="48"/>
  <c r="S42" i="48"/>
  <c r="S40" i="48"/>
  <c r="S38" i="48"/>
  <c r="S36" i="48"/>
  <c r="S34" i="48"/>
  <c r="S32" i="48"/>
  <c r="S30" i="48"/>
  <c r="S28" i="48"/>
  <c r="V67" i="48"/>
  <c r="V65" i="48"/>
  <c r="V63" i="48"/>
  <c r="V61" i="48"/>
  <c r="V59" i="48"/>
  <c r="V57" i="48"/>
  <c r="V55" i="48"/>
  <c r="V53" i="48"/>
  <c r="V51" i="48"/>
  <c r="V49" i="48"/>
  <c r="V47" i="48"/>
  <c r="V45" i="48"/>
  <c r="V43" i="48"/>
  <c r="V41" i="48"/>
  <c r="V39" i="48"/>
  <c r="V37" i="48"/>
  <c r="V35" i="48"/>
  <c r="V33" i="48"/>
  <c r="V31" i="48"/>
  <c r="V29" i="48"/>
  <c r="V27" i="48"/>
  <c r="U67" i="48"/>
  <c r="U63" i="48"/>
  <c r="U59" i="48"/>
  <c r="U55" i="48"/>
  <c r="U51" i="48"/>
  <c r="U47" i="48"/>
  <c r="U43" i="48"/>
  <c r="U39" i="48"/>
  <c r="U35" i="48"/>
  <c r="U8" i="48"/>
  <c r="U12" i="48"/>
  <c r="U16" i="48"/>
  <c r="X6" i="48"/>
  <c r="X8" i="48"/>
  <c r="X10" i="48"/>
  <c r="X12" i="48"/>
  <c r="X14" i="48"/>
  <c r="X16" i="48"/>
  <c r="X18" i="48"/>
  <c r="X20" i="48"/>
  <c r="X22" i="48"/>
  <c r="X24" i="48"/>
  <c r="T68" i="48"/>
  <c r="T66" i="48"/>
  <c r="T64" i="48"/>
  <c r="T62" i="48"/>
  <c r="T60" i="48"/>
  <c r="T58" i="48"/>
  <c r="T56" i="48"/>
  <c r="T54" i="48"/>
  <c r="T52" i="48"/>
  <c r="T50" i="48"/>
  <c r="T48" i="48"/>
  <c r="T46" i="48"/>
  <c r="T44" i="48"/>
  <c r="T42" i="48"/>
  <c r="T40" i="48"/>
  <c r="T38" i="48"/>
  <c r="T36" i="48"/>
  <c r="T34" i="48"/>
  <c r="T32" i="48"/>
  <c r="T30" i="48"/>
  <c r="T28" i="48"/>
  <c r="W67" i="48"/>
  <c r="W65" i="48"/>
  <c r="W63" i="48"/>
  <c r="W61" i="48"/>
  <c r="W59" i="48"/>
  <c r="W57" i="48"/>
  <c r="W55" i="48"/>
  <c r="W53" i="48"/>
  <c r="W51" i="48"/>
  <c r="W49" i="48"/>
  <c r="W47" i="48"/>
  <c r="W45" i="48"/>
  <c r="W43" i="48"/>
  <c r="W41" i="48"/>
  <c r="W39" i="48"/>
  <c r="W37" i="48"/>
  <c r="W35" i="48"/>
  <c r="W33" i="48"/>
  <c r="W31" i="48"/>
  <c r="W29" i="48"/>
  <c r="W27" i="48"/>
  <c r="R67" i="48"/>
  <c r="R65" i="48"/>
  <c r="R63" i="48"/>
  <c r="R61" i="48"/>
  <c r="R59" i="48"/>
  <c r="R57" i="48"/>
  <c r="R55" i="48"/>
  <c r="R53" i="48"/>
  <c r="R51" i="48"/>
  <c r="R49" i="48"/>
  <c r="R47" i="48"/>
  <c r="R45" i="48"/>
  <c r="R43" i="48"/>
  <c r="R41" i="48"/>
  <c r="R39" i="48"/>
  <c r="R37" i="48"/>
  <c r="R35" i="48"/>
  <c r="R33" i="48"/>
  <c r="R31" i="48"/>
  <c r="R29" i="48"/>
  <c r="R27" i="48"/>
  <c r="U66" i="48"/>
  <c r="U62" i="48"/>
  <c r="U58" i="48"/>
  <c r="U54" i="48"/>
  <c r="U50" i="48"/>
  <c r="U46" i="48"/>
  <c r="U42" i="48"/>
  <c r="U38" i="48"/>
  <c r="U5" i="48"/>
  <c r="U9" i="48"/>
  <c r="U13" i="48"/>
  <c r="U17" i="48"/>
  <c r="U18" i="48"/>
  <c r="U22" i="48"/>
  <c r="U26" i="48"/>
  <c r="U32" i="48"/>
  <c r="R6" i="48"/>
  <c r="R8" i="48"/>
  <c r="R12" i="48"/>
  <c r="R14" i="48"/>
  <c r="R16" i="48"/>
  <c r="R18" i="48"/>
  <c r="R22" i="48"/>
  <c r="R26" i="48"/>
  <c r="W7" i="48"/>
  <c r="W13" i="48"/>
  <c r="W17" i="48"/>
  <c r="W21" i="48"/>
  <c r="W25" i="48"/>
  <c r="U19" i="48"/>
  <c r="U23" i="48"/>
  <c r="S27" i="48"/>
  <c r="U34" i="48"/>
  <c r="V6" i="48"/>
  <c r="V8" i="48"/>
  <c r="V10" i="48"/>
  <c r="V12" i="48"/>
  <c r="V14" i="48"/>
  <c r="V16" i="48"/>
  <c r="V18" i="48"/>
  <c r="V20" i="48"/>
  <c r="V22" i="48"/>
  <c r="V24" i="48"/>
  <c r="W26" i="48"/>
  <c r="S6" i="48"/>
  <c r="S8" i="48"/>
  <c r="S10" i="48"/>
  <c r="S12" i="48"/>
  <c r="S14" i="48"/>
  <c r="S16" i="48"/>
  <c r="S18" i="48"/>
  <c r="S20" i="48"/>
  <c r="S22" i="48"/>
  <c r="S24" i="48"/>
  <c r="S26" i="48"/>
  <c r="U31" i="48"/>
  <c r="U20" i="48"/>
  <c r="U24" i="48"/>
  <c r="U28" i="48"/>
  <c r="R5" i="48"/>
  <c r="R7" i="48"/>
  <c r="R9" i="48"/>
  <c r="R11" i="48"/>
  <c r="R13" i="48"/>
  <c r="R15" i="48"/>
  <c r="R17" i="48"/>
  <c r="R19" i="48"/>
  <c r="R21" i="48"/>
  <c r="R23" i="48"/>
  <c r="R25" i="48"/>
  <c r="T27" i="48"/>
  <c r="W6" i="48"/>
  <c r="W8" i="48"/>
  <c r="W10" i="48"/>
  <c r="W12" i="48"/>
  <c r="W14" i="48"/>
  <c r="W16" i="48"/>
  <c r="W18" i="48"/>
  <c r="W20" i="48"/>
  <c r="W22" i="48"/>
  <c r="W24" i="48"/>
  <c r="X26" i="48"/>
  <c r="U33" i="48"/>
  <c r="U21" i="48"/>
  <c r="U25" i="48"/>
  <c r="U30" i="48"/>
  <c r="V5" i="48"/>
  <c r="V7" i="48"/>
  <c r="V9" i="48"/>
  <c r="V11" i="48"/>
  <c r="V13" i="48"/>
  <c r="V15" i="48"/>
  <c r="V17" i="48"/>
  <c r="V19" i="48"/>
  <c r="V21" i="48"/>
  <c r="V23" i="48"/>
  <c r="V25" i="48"/>
  <c r="S5" i="48"/>
  <c r="S7" i="48"/>
  <c r="S9" i="48"/>
  <c r="S11" i="48"/>
  <c r="S13" i="48"/>
  <c r="S15" i="48"/>
  <c r="S17" i="48"/>
  <c r="S19" i="48"/>
  <c r="S21" i="48"/>
  <c r="S23" i="48"/>
  <c r="S25" i="48"/>
  <c r="U27" i="48"/>
  <c r="R10" i="48"/>
  <c r="R20" i="48"/>
  <c r="R24" i="48"/>
  <c r="W5" i="48"/>
  <c r="W9" i="48"/>
  <c r="W11" i="48"/>
  <c r="W15" i="48"/>
  <c r="W19" i="48"/>
  <c r="W23" i="48"/>
  <c r="U29" i="48"/>
  <c r="M4" i="48"/>
  <c r="W4" i="48"/>
  <c r="D6" i="48"/>
  <c r="D7" i="48"/>
  <c r="D54" i="48"/>
  <c r="D53" i="48"/>
  <c r="D44" i="48"/>
  <c r="D61" i="48"/>
  <c r="D66" i="48"/>
  <c r="D12" i="48"/>
  <c r="D55" i="48"/>
  <c r="D18" i="48"/>
  <c r="D15" i="48"/>
  <c r="D17" i="48"/>
  <c r="D13" i="48"/>
  <c r="D20" i="48"/>
  <c r="D42" i="48"/>
  <c r="C5" i="48"/>
  <c r="I4" i="48"/>
  <c r="K4" i="48"/>
  <c r="D14" i="48"/>
  <c r="D46" i="48"/>
  <c r="D28" i="48"/>
  <c r="D27" i="48"/>
  <c r="D25" i="48"/>
  <c r="D24" i="48"/>
  <c r="D19" i="48"/>
  <c r="X5" i="48"/>
  <c r="X4" i="48"/>
  <c r="L4" i="48"/>
  <c r="Q68" i="49"/>
  <c r="Q67" i="49"/>
  <c r="Q66" i="49"/>
  <c r="Q65" i="49"/>
  <c r="Q64" i="49"/>
  <c r="Q63" i="49"/>
  <c r="Q62" i="49"/>
  <c r="Q61" i="49"/>
  <c r="Q60" i="49"/>
  <c r="Q59" i="49"/>
  <c r="Q58" i="49"/>
  <c r="Q57" i="49"/>
  <c r="Q56" i="49"/>
  <c r="Q55" i="49"/>
  <c r="Q54" i="49"/>
  <c r="Q53" i="49"/>
  <c r="Q52" i="49"/>
  <c r="Q51" i="49"/>
  <c r="Q50" i="49"/>
  <c r="Q49" i="49"/>
  <c r="Q48" i="49"/>
  <c r="Q47" i="49"/>
  <c r="Q46" i="49"/>
  <c r="Q45" i="49"/>
  <c r="Q44" i="49"/>
  <c r="Q43" i="49"/>
  <c r="Q42" i="49"/>
  <c r="Q41" i="49"/>
  <c r="Q40" i="49"/>
  <c r="Q38" i="49"/>
  <c r="Q37" i="49"/>
  <c r="Q36" i="49"/>
  <c r="Q35" i="49"/>
  <c r="Q34" i="49"/>
  <c r="Q33" i="49"/>
  <c r="Q32" i="49"/>
  <c r="Q31" i="49"/>
  <c r="Q30" i="49"/>
  <c r="Q29" i="49"/>
  <c r="Q28" i="49"/>
  <c r="Q26" i="49"/>
  <c r="Q25" i="49"/>
  <c r="Q24" i="49"/>
  <c r="Q23" i="49"/>
  <c r="Q22" i="49"/>
  <c r="Q21" i="49"/>
  <c r="Q20" i="49"/>
  <c r="Q19" i="49"/>
  <c r="Q18" i="49"/>
  <c r="Q17" i="49"/>
  <c r="Q16" i="49"/>
  <c r="Q15" i="49"/>
  <c r="Q14" i="49"/>
  <c r="Q13" i="49"/>
  <c r="Q12" i="49"/>
  <c r="Q11" i="49"/>
  <c r="Q10" i="49"/>
  <c r="Q9" i="49"/>
  <c r="Q8" i="49"/>
  <c r="Q7" i="49"/>
  <c r="Q6" i="49"/>
  <c r="Q5" i="49"/>
  <c r="C4" i="49"/>
  <c r="Q39" i="49"/>
  <c r="M68" i="49"/>
  <c r="E68" i="49"/>
  <c r="D68" i="49"/>
  <c r="C68" i="49"/>
  <c r="B68" i="49"/>
  <c r="A68" i="49"/>
  <c r="M67" i="49"/>
  <c r="E67" i="49"/>
  <c r="D67" i="49"/>
  <c r="C67" i="49"/>
  <c r="B67" i="49"/>
  <c r="A67" i="49"/>
  <c r="M66" i="49"/>
  <c r="E66" i="49"/>
  <c r="C66" i="49"/>
  <c r="B66" i="49"/>
  <c r="A66" i="49"/>
  <c r="M65" i="49"/>
  <c r="E65" i="49"/>
  <c r="D65" i="49"/>
  <c r="C65" i="49"/>
  <c r="B65" i="49"/>
  <c r="A65" i="49"/>
  <c r="M64" i="49"/>
  <c r="E64" i="49"/>
  <c r="D64" i="49"/>
  <c r="C64" i="49"/>
  <c r="B64" i="49"/>
  <c r="A64" i="49"/>
  <c r="M63" i="49"/>
  <c r="E63" i="49"/>
  <c r="D63" i="49"/>
  <c r="A63" i="49"/>
  <c r="M62" i="49"/>
  <c r="E62" i="49"/>
  <c r="D62" i="49"/>
  <c r="C62" i="49"/>
  <c r="M61" i="49"/>
  <c r="E61" i="49"/>
  <c r="C61" i="49"/>
  <c r="B61" i="49"/>
  <c r="A61" i="49"/>
  <c r="M60" i="49"/>
  <c r="E60" i="49"/>
  <c r="D60" i="49"/>
  <c r="C60" i="49"/>
  <c r="B60" i="49"/>
  <c r="A60" i="49"/>
  <c r="M59" i="49"/>
  <c r="E59" i="49"/>
  <c r="D59" i="49"/>
  <c r="C59" i="49"/>
  <c r="B59" i="49"/>
  <c r="A59" i="49"/>
  <c r="M58" i="49"/>
  <c r="E58" i="49"/>
  <c r="D58" i="49"/>
  <c r="C58" i="49"/>
  <c r="B58" i="49"/>
  <c r="A58" i="49"/>
  <c r="M57" i="49"/>
  <c r="E57" i="49"/>
  <c r="D57" i="49"/>
  <c r="A57" i="49"/>
  <c r="M56" i="49"/>
  <c r="E56" i="49"/>
  <c r="D56" i="49"/>
  <c r="C56" i="49"/>
  <c r="M55" i="49"/>
  <c r="E55" i="49"/>
  <c r="C55" i="49"/>
  <c r="B55" i="49"/>
  <c r="A55" i="49"/>
  <c r="M54" i="49"/>
  <c r="E54" i="49"/>
  <c r="C54" i="49"/>
  <c r="B54" i="49"/>
  <c r="A54" i="49"/>
  <c r="M53" i="49"/>
  <c r="E53" i="49"/>
  <c r="C53" i="49"/>
  <c r="B53" i="49"/>
  <c r="A53" i="49"/>
  <c r="M52" i="49"/>
  <c r="E52" i="49"/>
  <c r="D52" i="49"/>
  <c r="B52" i="49"/>
  <c r="A52" i="49"/>
  <c r="M51" i="49"/>
  <c r="E51" i="49"/>
  <c r="D51" i="49"/>
  <c r="M50" i="49"/>
  <c r="E50" i="49"/>
  <c r="D50" i="49"/>
  <c r="M49" i="49"/>
  <c r="E49" i="49"/>
  <c r="D49" i="49"/>
  <c r="C49" i="49"/>
  <c r="B49" i="49"/>
  <c r="A49" i="49"/>
  <c r="M48" i="49"/>
  <c r="E48" i="49"/>
  <c r="D48" i="49"/>
  <c r="C48" i="49"/>
  <c r="B48" i="49"/>
  <c r="A48" i="49"/>
  <c r="M47" i="49"/>
  <c r="E47" i="49"/>
  <c r="D47" i="49"/>
  <c r="C47" i="49"/>
  <c r="B47" i="49"/>
  <c r="A47" i="49"/>
  <c r="M46" i="49"/>
  <c r="E46" i="49"/>
  <c r="C46" i="49"/>
  <c r="B46" i="49"/>
  <c r="A46" i="49"/>
  <c r="M45" i="49"/>
  <c r="E45" i="49"/>
  <c r="D45" i="49"/>
  <c r="C45" i="49"/>
  <c r="B45" i="49"/>
  <c r="A45" i="49"/>
  <c r="M44" i="49"/>
  <c r="E44" i="49"/>
  <c r="C44" i="49"/>
  <c r="B44" i="49"/>
  <c r="A44" i="49"/>
  <c r="M43" i="49"/>
  <c r="E43" i="49"/>
  <c r="C43" i="49"/>
  <c r="B43" i="49"/>
  <c r="A43" i="49"/>
  <c r="M42" i="49"/>
  <c r="E42" i="49"/>
  <c r="C42" i="49"/>
  <c r="B42" i="49"/>
  <c r="A42" i="49"/>
  <c r="M41" i="49"/>
  <c r="E41" i="49"/>
  <c r="D41" i="49"/>
  <c r="B41" i="49"/>
  <c r="A41" i="49"/>
  <c r="M40" i="49"/>
  <c r="E40" i="49"/>
  <c r="D40" i="49"/>
  <c r="M39" i="49"/>
  <c r="B39" i="49"/>
  <c r="A39" i="49"/>
  <c r="M38" i="49"/>
  <c r="E38" i="49"/>
  <c r="D38" i="49"/>
  <c r="C38" i="49"/>
  <c r="B38" i="49"/>
  <c r="A38" i="49"/>
  <c r="M37" i="49"/>
  <c r="E37" i="49"/>
  <c r="D37" i="49"/>
  <c r="C37" i="49"/>
  <c r="B37" i="49"/>
  <c r="A37" i="49"/>
  <c r="M36" i="49"/>
  <c r="E36" i="49"/>
  <c r="D36" i="49"/>
  <c r="C36" i="49"/>
  <c r="B36" i="49"/>
  <c r="A36" i="49"/>
  <c r="M35" i="49"/>
  <c r="E35" i="49"/>
  <c r="D35" i="49"/>
  <c r="C35" i="49"/>
  <c r="B35" i="49"/>
  <c r="A35" i="49"/>
  <c r="M34" i="49"/>
  <c r="E34" i="49"/>
  <c r="D34" i="49"/>
  <c r="C34" i="49"/>
  <c r="B34" i="49"/>
  <c r="A34" i="49"/>
  <c r="M33" i="49"/>
  <c r="E33" i="49"/>
  <c r="D33" i="49"/>
  <c r="C33" i="49"/>
  <c r="B33" i="49"/>
  <c r="A33" i="49"/>
  <c r="M32" i="49"/>
  <c r="E32" i="49"/>
  <c r="D32" i="49"/>
  <c r="M31" i="49"/>
  <c r="E31" i="49"/>
  <c r="D31" i="49"/>
  <c r="C31" i="49"/>
  <c r="B31" i="49"/>
  <c r="A31" i="49"/>
  <c r="M30" i="49"/>
  <c r="E30" i="49"/>
  <c r="D30" i="49"/>
  <c r="C30" i="49"/>
  <c r="B30" i="49"/>
  <c r="A30" i="49"/>
  <c r="M29" i="49"/>
  <c r="E29" i="49"/>
  <c r="D29" i="49"/>
  <c r="C29" i="49"/>
  <c r="B29" i="49"/>
  <c r="A29" i="49"/>
  <c r="M28" i="49"/>
  <c r="E28" i="49"/>
  <c r="C28" i="49"/>
  <c r="B28" i="49"/>
  <c r="A28" i="49"/>
  <c r="B27" i="49"/>
  <c r="A27" i="49"/>
  <c r="M26" i="49"/>
  <c r="E26" i="49"/>
  <c r="C26" i="49"/>
  <c r="B26" i="49"/>
  <c r="A26" i="49"/>
  <c r="M25" i="49"/>
  <c r="E25" i="49"/>
  <c r="C25" i="49"/>
  <c r="B25" i="49"/>
  <c r="A25" i="49"/>
  <c r="M24" i="49"/>
  <c r="E24" i="49"/>
  <c r="C24" i="49"/>
  <c r="B24" i="49"/>
  <c r="A24" i="49"/>
  <c r="M23" i="49"/>
  <c r="M22" i="49"/>
  <c r="E22" i="49"/>
  <c r="D22" i="49"/>
  <c r="C22" i="49"/>
  <c r="B22" i="49"/>
  <c r="A22" i="49"/>
  <c r="M21" i="49"/>
  <c r="E21" i="49"/>
  <c r="D21" i="49"/>
  <c r="C21" i="49"/>
  <c r="B21" i="49"/>
  <c r="A21" i="49"/>
  <c r="M20" i="49"/>
  <c r="E20" i="49"/>
  <c r="C20" i="49"/>
  <c r="B20" i="49"/>
  <c r="A20" i="49"/>
  <c r="M19" i="49"/>
  <c r="E19" i="49"/>
  <c r="C19" i="49"/>
  <c r="B19" i="49"/>
  <c r="A19" i="49"/>
  <c r="M18" i="49"/>
  <c r="E18" i="49"/>
  <c r="C18" i="49"/>
  <c r="B18" i="49"/>
  <c r="A18" i="49"/>
  <c r="M17" i="49"/>
  <c r="E17" i="49"/>
  <c r="C17" i="49"/>
  <c r="B17" i="49"/>
  <c r="A17" i="49"/>
  <c r="M16" i="49"/>
  <c r="D16" i="49"/>
  <c r="M15" i="49"/>
  <c r="E15" i="49"/>
  <c r="C15" i="49"/>
  <c r="B15" i="49"/>
  <c r="A15" i="49"/>
  <c r="M14" i="49"/>
  <c r="E14" i="49"/>
  <c r="C14" i="49"/>
  <c r="B14" i="49"/>
  <c r="A14" i="49"/>
  <c r="M13" i="49"/>
  <c r="E13" i="49"/>
  <c r="C13" i="49"/>
  <c r="B13" i="49"/>
  <c r="A13" i="49"/>
  <c r="M12" i="49"/>
  <c r="E12" i="49"/>
  <c r="C12" i="49"/>
  <c r="B12" i="49"/>
  <c r="A12" i="49"/>
  <c r="M11" i="49"/>
  <c r="D11" i="49"/>
  <c r="B11" i="49"/>
  <c r="A11" i="49"/>
  <c r="M10" i="49"/>
  <c r="D10" i="49"/>
  <c r="E9" i="49"/>
  <c r="C9" i="49"/>
  <c r="B9" i="49"/>
  <c r="A9" i="49"/>
  <c r="E8" i="49"/>
  <c r="C8" i="49"/>
  <c r="B8" i="49"/>
  <c r="A8" i="49"/>
  <c r="M7" i="49"/>
  <c r="E7" i="49"/>
  <c r="C7" i="49"/>
  <c r="B7" i="49"/>
  <c r="A7" i="49"/>
  <c r="M6" i="49"/>
  <c r="E6" i="49"/>
  <c r="C6" i="49"/>
  <c r="B6" i="49"/>
  <c r="A6" i="49"/>
  <c r="M5" i="49"/>
  <c r="B5" i="49"/>
  <c r="A5" i="49"/>
  <c r="B2" i="49"/>
  <c r="D43" i="49"/>
  <c r="M9" i="49"/>
  <c r="Q27" i="49"/>
  <c r="R7" i="49"/>
  <c r="S43" i="49"/>
  <c r="T5" i="49"/>
  <c r="T7" i="49"/>
  <c r="T9" i="49"/>
  <c r="T11" i="49"/>
  <c r="T13" i="49"/>
  <c r="T15" i="49"/>
  <c r="T17" i="49"/>
  <c r="T19" i="49"/>
  <c r="T21" i="49"/>
  <c r="T23" i="49"/>
  <c r="T25" i="49"/>
  <c r="S28" i="49"/>
  <c r="S32" i="49"/>
  <c r="S36" i="49"/>
  <c r="R40" i="49"/>
  <c r="T68" i="49"/>
  <c r="T66" i="49"/>
  <c r="T64" i="49"/>
  <c r="T62" i="49"/>
  <c r="T60" i="49"/>
  <c r="T58" i="49"/>
  <c r="T56" i="49"/>
  <c r="T54" i="49"/>
  <c r="T52" i="49"/>
  <c r="T50" i="49"/>
  <c r="T48" i="49"/>
  <c r="T46" i="49"/>
  <c r="T44" i="49"/>
  <c r="T42" i="49"/>
  <c r="T40" i="49"/>
  <c r="T38" i="49"/>
  <c r="T36" i="49"/>
  <c r="T34" i="49"/>
  <c r="T32" i="49"/>
  <c r="T30" i="49"/>
  <c r="T28" i="49"/>
  <c r="W68" i="49"/>
  <c r="W66" i="49"/>
  <c r="W64" i="49"/>
  <c r="W62" i="49"/>
  <c r="W60" i="49"/>
  <c r="W58" i="49"/>
  <c r="W56" i="49"/>
  <c r="W54" i="49"/>
  <c r="W52" i="49"/>
  <c r="W50" i="49"/>
  <c r="W48" i="49"/>
  <c r="W46" i="49"/>
  <c r="W44" i="49"/>
  <c r="V67" i="49"/>
  <c r="V65" i="49"/>
  <c r="V63" i="49"/>
  <c r="V61" i="49"/>
  <c r="V59" i="49"/>
  <c r="V57" i="49"/>
  <c r="V55" i="49"/>
  <c r="V53" i="49"/>
  <c r="V51" i="49"/>
  <c r="V49" i="49"/>
  <c r="V47" i="49"/>
  <c r="V45" i="49"/>
  <c r="U68" i="49"/>
  <c r="U64" i="49"/>
  <c r="U60" i="49"/>
  <c r="U56" i="49"/>
  <c r="U52" i="49"/>
  <c r="U48" i="49"/>
  <c r="U44" i="49"/>
  <c r="U40" i="49"/>
  <c r="U5" i="49"/>
  <c r="U9" i="49"/>
  <c r="U13" i="49"/>
  <c r="U17" i="49"/>
  <c r="U21" i="49"/>
  <c r="U25" i="49"/>
  <c r="U28" i="49"/>
  <c r="R31" i="49"/>
  <c r="W33" i="49"/>
  <c r="U36" i="49"/>
  <c r="S40" i="49"/>
  <c r="V7" i="49"/>
  <c r="V9" i="49"/>
  <c r="V11" i="49"/>
  <c r="R5" i="49"/>
  <c r="R6" i="49"/>
  <c r="X7" i="49"/>
  <c r="X9" i="49"/>
  <c r="X11" i="49"/>
  <c r="X13" i="49"/>
  <c r="X15" i="49"/>
  <c r="X17" i="49"/>
  <c r="X19" i="49"/>
  <c r="X21" i="49"/>
  <c r="X23" i="49"/>
  <c r="X25" i="49"/>
  <c r="V29" i="49"/>
  <c r="V33" i="49"/>
  <c r="W37" i="49"/>
  <c r="W41" i="49"/>
  <c r="X67" i="49"/>
  <c r="X65" i="49"/>
  <c r="X63" i="49"/>
  <c r="X61" i="49"/>
  <c r="X59" i="49"/>
  <c r="X57" i="49"/>
  <c r="X55" i="49"/>
  <c r="X53" i="49"/>
  <c r="X51" i="49"/>
  <c r="X49" i="49"/>
  <c r="X47" i="49"/>
  <c r="X45" i="49"/>
  <c r="X43" i="49"/>
  <c r="X41" i="49"/>
  <c r="X39" i="49"/>
  <c r="X37" i="49"/>
  <c r="X35" i="49"/>
  <c r="X33" i="49"/>
  <c r="X31" i="49"/>
  <c r="X29" i="49"/>
  <c r="X27" i="49"/>
  <c r="S68" i="49"/>
  <c r="S66" i="49"/>
  <c r="S64" i="49"/>
  <c r="S62" i="49"/>
  <c r="S60" i="49"/>
  <c r="S58" i="49"/>
  <c r="S56" i="49"/>
  <c r="S54" i="49"/>
  <c r="S52" i="49"/>
  <c r="S50" i="49"/>
  <c r="S48" i="49"/>
  <c r="S46" i="49"/>
  <c r="S44" i="49"/>
  <c r="R67" i="49"/>
  <c r="R65" i="49"/>
  <c r="R63" i="49"/>
  <c r="R61" i="49"/>
  <c r="R59" i="49"/>
  <c r="R57" i="49"/>
  <c r="R55" i="49"/>
  <c r="R53" i="49"/>
  <c r="R51" i="49"/>
  <c r="R49" i="49"/>
  <c r="R47" i="49"/>
  <c r="R45" i="49"/>
  <c r="U67" i="49"/>
  <c r="U63" i="49"/>
  <c r="U59" i="49"/>
  <c r="U55" i="49"/>
  <c r="U51" i="49"/>
  <c r="U47" i="49"/>
  <c r="U43" i="49"/>
  <c r="U39" i="49"/>
  <c r="U6" i="49"/>
  <c r="U10" i="49"/>
  <c r="U14" i="49"/>
  <c r="U18" i="49"/>
  <c r="U22" i="49"/>
  <c r="U26" i="49"/>
  <c r="R29" i="49"/>
  <c r="W31" i="49"/>
  <c r="U34" i="49"/>
  <c r="R37" i="49"/>
  <c r="R41" i="49"/>
  <c r="R8" i="49"/>
  <c r="R10" i="49"/>
  <c r="R12" i="49"/>
  <c r="V6" i="49"/>
  <c r="T6" i="49"/>
  <c r="T8" i="49"/>
  <c r="T10" i="49"/>
  <c r="T12" i="49"/>
  <c r="T14" i="49"/>
  <c r="T16" i="49"/>
  <c r="T18" i="49"/>
  <c r="T20" i="49"/>
  <c r="T22" i="49"/>
  <c r="T24" i="49"/>
  <c r="T26" i="49"/>
  <c r="S30" i="49"/>
  <c r="S34" i="49"/>
  <c r="V38" i="49"/>
  <c r="V42" i="49"/>
  <c r="T67" i="49"/>
  <c r="T65" i="49"/>
  <c r="T63" i="49"/>
  <c r="T61" i="49"/>
  <c r="T59" i="49"/>
  <c r="T57" i="49"/>
  <c r="T55" i="49"/>
  <c r="T53" i="49"/>
  <c r="T51" i="49"/>
  <c r="T49" i="49"/>
  <c r="T47" i="49"/>
  <c r="T45" i="49"/>
  <c r="T43" i="49"/>
  <c r="T41" i="49"/>
  <c r="T39" i="49"/>
  <c r="T37" i="49"/>
  <c r="T35" i="49"/>
  <c r="T33" i="49"/>
  <c r="T31" i="49"/>
  <c r="T29" i="49"/>
  <c r="T27" i="49"/>
  <c r="W67" i="49"/>
  <c r="W65" i="49"/>
  <c r="W63" i="49"/>
  <c r="W61" i="49"/>
  <c r="W59" i="49"/>
  <c r="W57" i="49"/>
  <c r="W55" i="49"/>
  <c r="W53" i="49"/>
  <c r="W51" i="49"/>
  <c r="W49" i="49"/>
  <c r="W47" i="49"/>
  <c r="W45" i="49"/>
  <c r="V68" i="49"/>
  <c r="V66" i="49"/>
  <c r="V64" i="49"/>
  <c r="V62" i="49"/>
  <c r="V60" i="49"/>
  <c r="V58" i="49"/>
  <c r="V56" i="49"/>
  <c r="V54" i="49"/>
  <c r="V52" i="49"/>
  <c r="V50" i="49"/>
  <c r="V48" i="49"/>
  <c r="V46" i="49"/>
  <c r="V44" i="49"/>
  <c r="U66" i="49"/>
  <c r="U62" i="49"/>
  <c r="U58" i="49"/>
  <c r="U54" i="49"/>
  <c r="U50" i="49"/>
  <c r="U46" i="49"/>
  <c r="U42" i="49"/>
  <c r="U38" i="49"/>
  <c r="U7" i="49"/>
  <c r="U11" i="49"/>
  <c r="U15" i="49"/>
  <c r="U19" i="49"/>
  <c r="U23" i="49"/>
  <c r="R27" i="49"/>
  <c r="W29" i="49"/>
  <c r="U32" i="49"/>
  <c r="R35" i="49"/>
  <c r="W38" i="49"/>
  <c r="W42" i="49"/>
  <c r="V8" i="49"/>
  <c r="V10" i="49"/>
  <c r="V12" i="49"/>
  <c r="V5" i="49"/>
  <c r="X6" i="49"/>
  <c r="X8" i="49"/>
  <c r="X10" i="49"/>
  <c r="X12" i="49"/>
  <c r="X14" i="49"/>
  <c r="X16" i="49"/>
  <c r="X18" i="49"/>
  <c r="X20" i="49"/>
  <c r="X22" i="49"/>
  <c r="X24" i="49"/>
  <c r="V27" i="49"/>
  <c r="V31" i="49"/>
  <c r="V35" i="49"/>
  <c r="S39" i="49"/>
  <c r="X68" i="49"/>
  <c r="X66" i="49"/>
  <c r="X64" i="49"/>
  <c r="X62" i="49"/>
  <c r="X60" i="49"/>
  <c r="X58" i="49"/>
  <c r="X56" i="49"/>
  <c r="X54" i="49"/>
  <c r="X52" i="49"/>
  <c r="X50" i="49"/>
  <c r="X48" i="49"/>
  <c r="X46" i="49"/>
  <c r="X44" i="49"/>
  <c r="X42" i="49"/>
  <c r="X40" i="49"/>
  <c r="X38" i="49"/>
  <c r="X36" i="49"/>
  <c r="X34" i="49"/>
  <c r="X32" i="49"/>
  <c r="X30" i="49"/>
  <c r="X28" i="49"/>
  <c r="X26" i="49"/>
  <c r="S67" i="49"/>
  <c r="S65" i="49"/>
  <c r="S63" i="49"/>
  <c r="S61" i="49"/>
  <c r="S59" i="49"/>
  <c r="S57" i="49"/>
  <c r="S55" i="49"/>
  <c r="S53" i="49"/>
  <c r="S51" i="49"/>
  <c r="S49" i="49"/>
  <c r="S47" i="49"/>
  <c r="S45" i="49"/>
  <c r="R68" i="49"/>
  <c r="R66" i="49"/>
  <c r="R64" i="49"/>
  <c r="R62" i="49"/>
  <c r="R60" i="49"/>
  <c r="R58" i="49"/>
  <c r="R56" i="49"/>
  <c r="R54" i="49"/>
  <c r="R52" i="49"/>
  <c r="R50" i="49"/>
  <c r="R48" i="49"/>
  <c r="R46" i="49"/>
  <c r="R44" i="49"/>
  <c r="U65" i="49"/>
  <c r="U61" i="49"/>
  <c r="U57" i="49"/>
  <c r="U53" i="49"/>
  <c r="U49" i="49"/>
  <c r="U45" i="49"/>
  <c r="U41" i="49"/>
  <c r="U37" i="49"/>
  <c r="U8" i="49"/>
  <c r="U12" i="49"/>
  <c r="U16" i="49"/>
  <c r="U20" i="49"/>
  <c r="U24" i="49"/>
  <c r="W27" i="49"/>
  <c r="U30" i="49"/>
  <c r="R33" i="49"/>
  <c r="W35" i="49"/>
  <c r="V39" i="49"/>
  <c r="V43" i="49"/>
  <c r="R9" i="49"/>
  <c r="R11" i="49"/>
  <c r="R14" i="49"/>
  <c r="R16" i="49"/>
  <c r="R18" i="49"/>
  <c r="R20" i="49"/>
  <c r="R22" i="49"/>
  <c r="R24" i="49"/>
  <c r="R26" i="49"/>
  <c r="S29" i="49"/>
  <c r="S33" i="49"/>
  <c r="S37" i="49"/>
  <c r="S41" i="49"/>
  <c r="W5" i="49"/>
  <c r="W7" i="49"/>
  <c r="W9" i="49"/>
  <c r="W11" i="49"/>
  <c r="W13" i="49"/>
  <c r="W15" i="49"/>
  <c r="W17" i="49"/>
  <c r="W19" i="49"/>
  <c r="W21" i="49"/>
  <c r="W23" i="49"/>
  <c r="W25" i="49"/>
  <c r="W30" i="49"/>
  <c r="U33" i="49"/>
  <c r="R36" i="49"/>
  <c r="R43" i="49"/>
  <c r="V14" i="49"/>
  <c r="V16" i="49"/>
  <c r="V18" i="49"/>
  <c r="V20" i="49"/>
  <c r="V22" i="49"/>
  <c r="V24" i="49"/>
  <c r="V26" i="49"/>
  <c r="V30" i="49"/>
  <c r="V34" i="49"/>
  <c r="R38" i="49"/>
  <c r="R42" i="49"/>
  <c r="S6" i="49"/>
  <c r="S8" i="49"/>
  <c r="S10" i="49"/>
  <c r="S12" i="49"/>
  <c r="S14" i="49"/>
  <c r="S16" i="49"/>
  <c r="S18" i="49"/>
  <c r="S20" i="49"/>
  <c r="S22" i="49"/>
  <c r="S24" i="49"/>
  <c r="S26" i="49"/>
  <c r="W28" i="49"/>
  <c r="U31" i="49"/>
  <c r="R34" i="49"/>
  <c r="W36" i="49"/>
  <c r="W40" i="49"/>
  <c r="R13" i="49"/>
  <c r="R15" i="49"/>
  <c r="R17" i="49"/>
  <c r="R19" i="49"/>
  <c r="R21" i="49"/>
  <c r="R23" i="49"/>
  <c r="R25" i="49"/>
  <c r="S27" i="49"/>
  <c r="S31" i="49"/>
  <c r="S35" i="49"/>
  <c r="W39" i="49"/>
  <c r="W43" i="49"/>
  <c r="W6" i="49"/>
  <c r="W8" i="49"/>
  <c r="W10" i="49"/>
  <c r="W12" i="49"/>
  <c r="W14" i="49"/>
  <c r="W16" i="49"/>
  <c r="W18" i="49"/>
  <c r="W20" i="49"/>
  <c r="W22" i="49"/>
  <c r="W24" i="49"/>
  <c r="W26" i="49"/>
  <c r="U29" i="49"/>
  <c r="R32" i="49"/>
  <c r="W34" i="49"/>
  <c r="V37" i="49"/>
  <c r="V41" i="49"/>
  <c r="V13" i="49"/>
  <c r="V15" i="49"/>
  <c r="V17" i="49"/>
  <c r="V19" i="49"/>
  <c r="V21" i="49"/>
  <c r="V23" i="49"/>
  <c r="V25" i="49"/>
  <c r="V28" i="49"/>
  <c r="V32" i="49"/>
  <c r="V36" i="49"/>
  <c r="V40" i="49"/>
  <c r="S5" i="49"/>
  <c r="S7" i="49"/>
  <c r="S9" i="49"/>
  <c r="S11" i="49"/>
  <c r="S13" i="49"/>
  <c r="S15" i="49"/>
  <c r="S17" i="49"/>
  <c r="S19" i="49"/>
  <c r="S21" i="49"/>
  <c r="S23" i="49"/>
  <c r="S25" i="49"/>
  <c r="U27" i="49"/>
  <c r="R30" i="49"/>
  <c r="W32" i="49"/>
  <c r="U35" i="49"/>
  <c r="S38" i="49"/>
  <c r="S42" i="49"/>
  <c r="R28" i="49"/>
  <c r="R39" i="49"/>
  <c r="M27" i="49"/>
  <c r="M8" i="49"/>
  <c r="W4" i="49"/>
  <c r="M4" i="49"/>
  <c r="D6" i="49"/>
  <c r="D7" i="49"/>
  <c r="D54" i="49"/>
  <c r="D53" i="49"/>
  <c r="D44" i="49"/>
  <c r="D61" i="49"/>
  <c r="D66" i="49"/>
  <c r="D12" i="49"/>
  <c r="D55" i="49"/>
  <c r="D18" i="49"/>
  <c r="D15" i="49"/>
  <c r="D17" i="49"/>
  <c r="D13" i="49"/>
  <c r="D20" i="49"/>
  <c r="D42" i="49"/>
  <c r="C5" i="49"/>
  <c r="I4" i="49"/>
  <c r="K4" i="49"/>
  <c r="D14" i="49"/>
  <c r="D46" i="49"/>
  <c r="D28" i="49"/>
  <c r="D26" i="49"/>
  <c r="D25" i="49"/>
  <c r="D24" i="49"/>
  <c r="D19" i="49"/>
  <c r="X5" i="49"/>
  <c r="X4" i="49"/>
  <c r="L4" i="49"/>
  <c r="Q68" i="69"/>
  <c r="Q67" i="69"/>
  <c r="Q66" i="69"/>
  <c r="Q65" i="69"/>
  <c r="Q64" i="69"/>
  <c r="Q63" i="69"/>
  <c r="Q62" i="69"/>
  <c r="Q61" i="69"/>
  <c r="Q60" i="69"/>
  <c r="Q59" i="69"/>
  <c r="Q58" i="69"/>
  <c r="Q57" i="69"/>
  <c r="Q56" i="69"/>
  <c r="Q55" i="69"/>
  <c r="Q54" i="69"/>
  <c r="Q53" i="69"/>
  <c r="Q52" i="69"/>
  <c r="Q51" i="69"/>
  <c r="Q50" i="69"/>
  <c r="Q49" i="69"/>
  <c r="Q48" i="69"/>
  <c r="Q47" i="69"/>
  <c r="Q46" i="69"/>
  <c r="Q45" i="69"/>
  <c r="Q44" i="69"/>
  <c r="Q43" i="69"/>
  <c r="Q42" i="69"/>
  <c r="Q41" i="69"/>
  <c r="Q40" i="69"/>
  <c r="Q39" i="69"/>
  <c r="Q38" i="69"/>
  <c r="Q37" i="69"/>
  <c r="Q36" i="69"/>
  <c r="Q35" i="69"/>
  <c r="Q34" i="69"/>
  <c r="Q33" i="69"/>
  <c r="Q32" i="69"/>
  <c r="Q31" i="69"/>
  <c r="Q30" i="69"/>
  <c r="Q28" i="69"/>
  <c r="Q27" i="69"/>
  <c r="Q26" i="69"/>
  <c r="Q25" i="69"/>
  <c r="Q24" i="69"/>
  <c r="Q23" i="69"/>
  <c r="Q22" i="69"/>
  <c r="Q21" i="69"/>
  <c r="Q20" i="69"/>
  <c r="Q19" i="69"/>
  <c r="Q18" i="69"/>
  <c r="Q17" i="69"/>
  <c r="Q16" i="69"/>
  <c r="Q15" i="69"/>
  <c r="Q14" i="69"/>
  <c r="Q13" i="69"/>
  <c r="Q12" i="69"/>
  <c r="Q11" i="69"/>
  <c r="Q10" i="69"/>
  <c r="Q9" i="69"/>
  <c r="Q8" i="69"/>
  <c r="Q7" i="69"/>
  <c r="Q6" i="69"/>
  <c r="Q5" i="69"/>
  <c r="C4" i="69"/>
  <c r="E39" i="69"/>
  <c r="M68" i="69"/>
  <c r="E68" i="69"/>
  <c r="D68" i="69"/>
  <c r="C68" i="69"/>
  <c r="B68" i="69"/>
  <c r="A68" i="69"/>
  <c r="M67" i="69"/>
  <c r="E67" i="69"/>
  <c r="D67" i="69"/>
  <c r="C67" i="69"/>
  <c r="B67" i="69"/>
  <c r="A67" i="69"/>
  <c r="M66" i="69"/>
  <c r="E66" i="69"/>
  <c r="D66" i="69"/>
  <c r="C66" i="69"/>
  <c r="B66" i="69"/>
  <c r="A66" i="69"/>
  <c r="M65" i="69"/>
  <c r="E65" i="69"/>
  <c r="D65" i="69"/>
  <c r="C65" i="69"/>
  <c r="B65" i="69"/>
  <c r="A65" i="69"/>
  <c r="M64" i="69"/>
  <c r="E64" i="69"/>
  <c r="D64" i="69"/>
  <c r="C64" i="69"/>
  <c r="B64" i="69"/>
  <c r="A64" i="69"/>
  <c r="M63" i="69"/>
  <c r="E63" i="69"/>
  <c r="D63" i="69"/>
  <c r="A63" i="69"/>
  <c r="M62" i="69"/>
  <c r="E62" i="69"/>
  <c r="D62" i="69"/>
  <c r="C62" i="69"/>
  <c r="M61" i="69"/>
  <c r="E61" i="69"/>
  <c r="D61" i="69"/>
  <c r="C61" i="69"/>
  <c r="B61" i="69"/>
  <c r="A61" i="69"/>
  <c r="M60" i="69"/>
  <c r="E60" i="69"/>
  <c r="D60" i="69"/>
  <c r="C60" i="69"/>
  <c r="B60" i="69"/>
  <c r="A60" i="69"/>
  <c r="M59" i="69"/>
  <c r="E59" i="69"/>
  <c r="D59" i="69"/>
  <c r="C59" i="69"/>
  <c r="B59" i="69"/>
  <c r="A59" i="69"/>
  <c r="M58" i="69"/>
  <c r="E58" i="69"/>
  <c r="D58" i="69"/>
  <c r="C58" i="69"/>
  <c r="B58" i="69"/>
  <c r="A58" i="69"/>
  <c r="M57" i="69"/>
  <c r="E57" i="69"/>
  <c r="D57" i="69"/>
  <c r="A57" i="69"/>
  <c r="M56" i="69"/>
  <c r="E56" i="69"/>
  <c r="D56" i="69"/>
  <c r="C56" i="69"/>
  <c r="M55" i="69"/>
  <c r="E55" i="69"/>
  <c r="D55" i="69"/>
  <c r="C55" i="69"/>
  <c r="B55" i="69"/>
  <c r="A55" i="69"/>
  <c r="M54" i="69"/>
  <c r="E54" i="69"/>
  <c r="D54" i="69"/>
  <c r="C54" i="69"/>
  <c r="B54" i="69"/>
  <c r="A54" i="69"/>
  <c r="M53" i="69"/>
  <c r="E53" i="69"/>
  <c r="D53" i="69"/>
  <c r="C53" i="69"/>
  <c r="B53" i="69"/>
  <c r="A53" i="69"/>
  <c r="M52" i="69"/>
  <c r="E52" i="69"/>
  <c r="D52" i="69"/>
  <c r="B52" i="69"/>
  <c r="A52" i="69"/>
  <c r="M51" i="69"/>
  <c r="E51" i="69"/>
  <c r="D51" i="69"/>
  <c r="M50" i="69"/>
  <c r="E50" i="69"/>
  <c r="D50" i="69"/>
  <c r="M49" i="69"/>
  <c r="E49" i="69"/>
  <c r="D49" i="69"/>
  <c r="C49" i="69"/>
  <c r="B49" i="69"/>
  <c r="A49" i="69"/>
  <c r="M48" i="69"/>
  <c r="E48" i="69"/>
  <c r="D48" i="69"/>
  <c r="C48" i="69"/>
  <c r="B48" i="69"/>
  <c r="A48" i="69"/>
  <c r="M47" i="69"/>
  <c r="E47" i="69"/>
  <c r="D47" i="69"/>
  <c r="C47" i="69"/>
  <c r="B47" i="69"/>
  <c r="A47" i="69"/>
  <c r="M46" i="69"/>
  <c r="E46" i="69"/>
  <c r="D46" i="69"/>
  <c r="C46" i="69"/>
  <c r="B46" i="69"/>
  <c r="A46" i="69"/>
  <c r="M45" i="69"/>
  <c r="E45" i="69"/>
  <c r="D45" i="69"/>
  <c r="C45" i="69"/>
  <c r="B45" i="69"/>
  <c r="A45" i="69"/>
  <c r="M44" i="69"/>
  <c r="E44" i="69"/>
  <c r="D44" i="69"/>
  <c r="C44" i="69"/>
  <c r="B44" i="69"/>
  <c r="A44" i="69"/>
  <c r="M43" i="69"/>
  <c r="E43" i="69"/>
  <c r="D43" i="69"/>
  <c r="C43" i="69"/>
  <c r="B43" i="69"/>
  <c r="A43" i="69"/>
  <c r="M42" i="69"/>
  <c r="E42" i="69"/>
  <c r="D42" i="69"/>
  <c r="C42" i="69"/>
  <c r="B42" i="69"/>
  <c r="A42" i="69"/>
  <c r="M41" i="69"/>
  <c r="E41" i="69"/>
  <c r="D41" i="69"/>
  <c r="B41" i="69"/>
  <c r="A41" i="69"/>
  <c r="M40" i="69"/>
  <c r="E40" i="69"/>
  <c r="D40" i="69"/>
  <c r="D39" i="69"/>
  <c r="C39" i="69"/>
  <c r="B39" i="69"/>
  <c r="A39" i="69"/>
  <c r="M38" i="69"/>
  <c r="E38" i="69"/>
  <c r="D38" i="69"/>
  <c r="C38" i="69"/>
  <c r="B38" i="69"/>
  <c r="A38" i="69"/>
  <c r="M37" i="69"/>
  <c r="E37" i="69"/>
  <c r="D37" i="69"/>
  <c r="C37" i="69"/>
  <c r="B37" i="69"/>
  <c r="A37" i="69"/>
  <c r="M36" i="69"/>
  <c r="E36" i="69"/>
  <c r="D36" i="69"/>
  <c r="C36" i="69"/>
  <c r="B36" i="69"/>
  <c r="A36" i="69"/>
  <c r="M35" i="69"/>
  <c r="E35" i="69"/>
  <c r="D35" i="69"/>
  <c r="C35" i="69"/>
  <c r="B35" i="69"/>
  <c r="A35" i="69"/>
  <c r="M34" i="69"/>
  <c r="E34" i="69"/>
  <c r="D34" i="69"/>
  <c r="C34" i="69"/>
  <c r="B34" i="69"/>
  <c r="A34" i="69"/>
  <c r="M33" i="69"/>
  <c r="E33" i="69"/>
  <c r="D33" i="69"/>
  <c r="C33" i="69"/>
  <c r="B33" i="69"/>
  <c r="A33" i="69"/>
  <c r="M32" i="69"/>
  <c r="E32" i="69"/>
  <c r="D32" i="69"/>
  <c r="M31" i="69"/>
  <c r="E31" i="69"/>
  <c r="D31" i="69"/>
  <c r="C31" i="69"/>
  <c r="B31" i="69"/>
  <c r="A31" i="69"/>
  <c r="M30" i="69"/>
  <c r="E30" i="69"/>
  <c r="D30" i="69"/>
  <c r="C30" i="69"/>
  <c r="B30" i="69"/>
  <c r="A30" i="69"/>
  <c r="B29" i="69"/>
  <c r="A29" i="69"/>
  <c r="M28" i="69"/>
  <c r="E28" i="69"/>
  <c r="D28" i="69"/>
  <c r="C28" i="69"/>
  <c r="B28" i="69"/>
  <c r="A28" i="69"/>
  <c r="M27" i="69"/>
  <c r="E27" i="69"/>
  <c r="D27" i="69"/>
  <c r="C27" i="69"/>
  <c r="B27" i="69"/>
  <c r="A27" i="69"/>
  <c r="M26" i="69"/>
  <c r="E26" i="69"/>
  <c r="D26" i="69"/>
  <c r="C26" i="69"/>
  <c r="B26" i="69"/>
  <c r="A26" i="69"/>
  <c r="M25" i="69"/>
  <c r="E25" i="69"/>
  <c r="D25" i="69"/>
  <c r="C25" i="69"/>
  <c r="B25" i="69"/>
  <c r="A25" i="69"/>
  <c r="M24" i="69"/>
  <c r="E24" i="69"/>
  <c r="D24" i="69"/>
  <c r="C24" i="69"/>
  <c r="B24" i="69"/>
  <c r="A24" i="69"/>
  <c r="M23" i="69"/>
  <c r="M22" i="69"/>
  <c r="E22" i="69"/>
  <c r="D22" i="69"/>
  <c r="C22" i="69"/>
  <c r="B22" i="69"/>
  <c r="A22" i="69"/>
  <c r="M21" i="69"/>
  <c r="E21" i="69"/>
  <c r="D21" i="69"/>
  <c r="C21" i="69"/>
  <c r="B21" i="69"/>
  <c r="A21" i="69"/>
  <c r="M20" i="69"/>
  <c r="E20" i="69"/>
  <c r="D20" i="69"/>
  <c r="C20" i="69"/>
  <c r="B20" i="69"/>
  <c r="A20" i="69"/>
  <c r="M19" i="69"/>
  <c r="E19" i="69"/>
  <c r="D19" i="69"/>
  <c r="C19" i="69"/>
  <c r="B19" i="69"/>
  <c r="A19" i="69"/>
  <c r="M18" i="69"/>
  <c r="E18" i="69"/>
  <c r="D18" i="69"/>
  <c r="C18" i="69"/>
  <c r="B18" i="69"/>
  <c r="A18" i="69"/>
  <c r="M17" i="69"/>
  <c r="E17" i="69"/>
  <c r="D17" i="69"/>
  <c r="C17" i="69"/>
  <c r="B17" i="69"/>
  <c r="A17" i="69"/>
  <c r="M16" i="69"/>
  <c r="D16" i="69"/>
  <c r="M15" i="69"/>
  <c r="E15" i="69"/>
  <c r="D15" i="69"/>
  <c r="C15" i="69"/>
  <c r="B15" i="69"/>
  <c r="A15" i="69"/>
  <c r="M14" i="69"/>
  <c r="E14" i="69"/>
  <c r="D14" i="69"/>
  <c r="C14" i="69"/>
  <c r="B14" i="69"/>
  <c r="A14" i="69"/>
  <c r="M13" i="69"/>
  <c r="E13" i="69"/>
  <c r="D13" i="69"/>
  <c r="C13" i="69"/>
  <c r="B13" i="69"/>
  <c r="A13" i="69"/>
  <c r="M12" i="69"/>
  <c r="E12" i="69"/>
  <c r="D12" i="69"/>
  <c r="C12" i="69"/>
  <c r="B12" i="69"/>
  <c r="A12" i="69"/>
  <c r="M11" i="69"/>
  <c r="D11" i="69"/>
  <c r="B11" i="69"/>
  <c r="A11" i="69"/>
  <c r="M10" i="69"/>
  <c r="D10" i="69"/>
  <c r="M9" i="69"/>
  <c r="E9" i="69"/>
  <c r="D9" i="69"/>
  <c r="C9" i="69"/>
  <c r="B9" i="69"/>
  <c r="A9" i="69"/>
  <c r="M8" i="69"/>
  <c r="E8" i="69"/>
  <c r="D8" i="69"/>
  <c r="C8" i="69"/>
  <c r="B8" i="69"/>
  <c r="A8" i="69"/>
  <c r="E7" i="69"/>
  <c r="M7" i="69"/>
  <c r="D7" i="69"/>
  <c r="C7" i="69"/>
  <c r="B7" i="69"/>
  <c r="A7" i="69"/>
  <c r="E6" i="69"/>
  <c r="D6" i="69"/>
  <c r="C6" i="69"/>
  <c r="B6" i="69"/>
  <c r="A6" i="69"/>
  <c r="M5" i="69"/>
  <c r="C5" i="69"/>
  <c r="B5" i="69"/>
  <c r="A5" i="69"/>
  <c r="B2" i="69"/>
  <c r="M39" i="69"/>
  <c r="M6" i="69"/>
  <c r="Q29" i="69"/>
  <c r="L4" i="69"/>
  <c r="M29" i="69"/>
  <c r="R5" i="69"/>
  <c r="V6" i="69"/>
  <c r="R7" i="69"/>
  <c r="X5" i="69"/>
  <c r="X7" i="69"/>
  <c r="X9" i="69"/>
  <c r="X11" i="69"/>
  <c r="X13" i="69"/>
  <c r="X15" i="69"/>
  <c r="X17" i="69"/>
  <c r="X19" i="69"/>
  <c r="X21" i="69"/>
  <c r="X23" i="69"/>
  <c r="X25" i="69"/>
  <c r="V29" i="69"/>
  <c r="V33" i="69"/>
  <c r="V37" i="69"/>
  <c r="R41" i="69"/>
  <c r="X67" i="69"/>
  <c r="X65" i="69"/>
  <c r="X63" i="69"/>
  <c r="X61" i="69"/>
  <c r="X59" i="69"/>
  <c r="X57" i="69"/>
  <c r="X55" i="69"/>
  <c r="X53" i="69"/>
  <c r="X51" i="69"/>
  <c r="X49" i="69"/>
  <c r="X47" i="69"/>
  <c r="X45" i="69"/>
  <c r="X43" i="69"/>
  <c r="X41" i="69"/>
  <c r="X39" i="69"/>
  <c r="X37" i="69"/>
  <c r="X35" i="69"/>
  <c r="X33" i="69"/>
  <c r="X31" i="69"/>
  <c r="X29" i="69"/>
  <c r="X27" i="69"/>
  <c r="S68" i="69"/>
  <c r="S66" i="69"/>
  <c r="S64" i="69"/>
  <c r="S62" i="69"/>
  <c r="S60" i="69"/>
  <c r="S58" i="69"/>
  <c r="S56" i="69"/>
  <c r="S54" i="69"/>
  <c r="S52" i="69"/>
  <c r="S50" i="69"/>
  <c r="S48" i="69"/>
  <c r="S46" i="69"/>
  <c r="S44" i="69"/>
  <c r="V67" i="69"/>
  <c r="V65" i="69"/>
  <c r="V63" i="69"/>
  <c r="V61" i="69"/>
  <c r="V59" i="69"/>
  <c r="V57" i="69"/>
  <c r="V55" i="69"/>
  <c r="V53" i="69"/>
  <c r="V51" i="69"/>
  <c r="V49" i="69"/>
  <c r="V47" i="69"/>
  <c r="V45" i="69"/>
  <c r="U66" i="69"/>
  <c r="U62" i="69"/>
  <c r="U58" i="69"/>
  <c r="U54" i="69"/>
  <c r="U50" i="69"/>
  <c r="U46" i="69"/>
  <c r="U42" i="69"/>
  <c r="U6" i="69"/>
  <c r="U10" i="69"/>
  <c r="U14" i="69"/>
  <c r="U18" i="69"/>
  <c r="U22" i="69"/>
  <c r="U26" i="69"/>
  <c r="R29" i="69"/>
  <c r="W31" i="69"/>
  <c r="U34" i="69"/>
  <c r="V5" i="69"/>
  <c r="T6" i="69"/>
  <c r="T8" i="69"/>
  <c r="T10" i="69"/>
  <c r="T12" i="69"/>
  <c r="T14" i="69"/>
  <c r="T16" i="69"/>
  <c r="T18" i="69"/>
  <c r="T20" i="69"/>
  <c r="T22" i="69"/>
  <c r="T24" i="69"/>
  <c r="T26" i="69"/>
  <c r="S30" i="69"/>
  <c r="S34" i="69"/>
  <c r="S38" i="69"/>
  <c r="W42" i="69"/>
  <c r="T67" i="69"/>
  <c r="T65" i="69"/>
  <c r="T63" i="69"/>
  <c r="T61" i="69"/>
  <c r="T59" i="69"/>
  <c r="T57" i="69"/>
  <c r="T55" i="69"/>
  <c r="T53" i="69"/>
  <c r="T51" i="69"/>
  <c r="T49" i="69"/>
  <c r="T47" i="69"/>
  <c r="T45" i="69"/>
  <c r="T43" i="69"/>
  <c r="T41" i="69"/>
  <c r="T39" i="69"/>
  <c r="T37" i="69"/>
  <c r="T35" i="69"/>
  <c r="T33" i="69"/>
  <c r="T31" i="69"/>
  <c r="T29" i="69"/>
  <c r="T27" i="69"/>
  <c r="W67" i="69"/>
  <c r="W65" i="69"/>
  <c r="W63" i="69"/>
  <c r="W61" i="69"/>
  <c r="W59" i="69"/>
  <c r="W57" i="69"/>
  <c r="W55" i="69"/>
  <c r="W53" i="69"/>
  <c r="W51" i="69"/>
  <c r="W49" i="69"/>
  <c r="W47" i="69"/>
  <c r="W45" i="69"/>
  <c r="W43" i="69"/>
  <c r="R67" i="69"/>
  <c r="R65" i="69"/>
  <c r="R63" i="69"/>
  <c r="R61" i="69"/>
  <c r="R59" i="69"/>
  <c r="R57" i="69"/>
  <c r="R55" i="69"/>
  <c r="R53" i="69"/>
  <c r="R51" i="69"/>
  <c r="R49" i="69"/>
  <c r="R47" i="69"/>
  <c r="R45" i="69"/>
  <c r="U65" i="69"/>
  <c r="U61" i="69"/>
  <c r="U57" i="69"/>
  <c r="U53" i="69"/>
  <c r="U49" i="69"/>
  <c r="U45" i="69"/>
  <c r="U41" i="69"/>
  <c r="U7" i="69"/>
  <c r="U11" i="69"/>
  <c r="U15" i="69"/>
  <c r="U19" i="69"/>
  <c r="U23" i="69"/>
  <c r="R27" i="69"/>
  <c r="W29" i="69"/>
  <c r="U32" i="69"/>
  <c r="R35" i="69"/>
  <c r="W37" i="69"/>
  <c r="V43" i="69"/>
  <c r="X6" i="69"/>
  <c r="X8" i="69"/>
  <c r="X10" i="69"/>
  <c r="X12" i="69"/>
  <c r="X14" i="69"/>
  <c r="X16" i="69"/>
  <c r="X18" i="69"/>
  <c r="X20" i="69"/>
  <c r="X22" i="69"/>
  <c r="X24" i="69"/>
  <c r="V27" i="69"/>
  <c r="V31" i="69"/>
  <c r="V35" i="69"/>
  <c r="V39" i="69"/>
  <c r="X68" i="69"/>
  <c r="X66" i="69"/>
  <c r="X64" i="69"/>
  <c r="X62" i="69"/>
  <c r="X60" i="69"/>
  <c r="X58" i="69"/>
  <c r="X56" i="69"/>
  <c r="X54" i="69"/>
  <c r="X52" i="69"/>
  <c r="X50" i="69"/>
  <c r="X48" i="69"/>
  <c r="X46" i="69"/>
  <c r="X44" i="69"/>
  <c r="X42" i="69"/>
  <c r="X40" i="69"/>
  <c r="X38" i="69"/>
  <c r="X36" i="69"/>
  <c r="X34" i="69"/>
  <c r="X32" i="69"/>
  <c r="X30" i="69"/>
  <c r="X28" i="69"/>
  <c r="X26" i="69"/>
  <c r="S67" i="69"/>
  <c r="S65" i="69"/>
  <c r="S63" i="69"/>
  <c r="S61" i="69"/>
  <c r="S59" i="69"/>
  <c r="S57" i="69"/>
  <c r="S55" i="69"/>
  <c r="S53" i="69"/>
  <c r="S51" i="69"/>
  <c r="S49" i="69"/>
  <c r="S47" i="69"/>
  <c r="S45" i="69"/>
  <c r="V68" i="69"/>
  <c r="V66" i="69"/>
  <c r="V64" i="69"/>
  <c r="V62" i="69"/>
  <c r="V60" i="69"/>
  <c r="V58" i="69"/>
  <c r="V56" i="69"/>
  <c r="V54" i="69"/>
  <c r="V52" i="69"/>
  <c r="V50" i="69"/>
  <c r="V48" i="69"/>
  <c r="V46" i="69"/>
  <c r="U68" i="69"/>
  <c r="U64" i="69"/>
  <c r="U60" i="69"/>
  <c r="U56" i="69"/>
  <c r="U52" i="69"/>
  <c r="U48" i="69"/>
  <c r="U44" i="69"/>
  <c r="U40" i="69"/>
  <c r="U8" i="69"/>
  <c r="U12" i="69"/>
  <c r="U16" i="69"/>
  <c r="U20" i="69"/>
  <c r="U24" i="69"/>
  <c r="W27" i="69"/>
  <c r="U30" i="69"/>
  <c r="R33" i="69"/>
  <c r="W35" i="69"/>
  <c r="U38" i="69"/>
  <c r="S41" i="69"/>
  <c r="V8" i="69"/>
  <c r="V10" i="69"/>
  <c r="V12" i="69"/>
  <c r="V14" i="69"/>
  <c r="V16" i="69"/>
  <c r="R6" i="69"/>
  <c r="T5" i="69"/>
  <c r="T13" i="69"/>
  <c r="T21" i="69"/>
  <c r="S32" i="69"/>
  <c r="T66" i="69"/>
  <c r="T58" i="69"/>
  <c r="T50" i="69"/>
  <c r="T42" i="69"/>
  <c r="T34" i="69"/>
  <c r="W68" i="69"/>
  <c r="W60" i="69"/>
  <c r="W52" i="69"/>
  <c r="W44" i="69"/>
  <c r="R62" i="69"/>
  <c r="R54" i="69"/>
  <c r="R46" i="69"/>
  <c r="U55" i="69"/>
  <c r="U5" i="69"/>
  <c r="U21" i="69"/>
  <c r="W33" i="69"/>
  <c r="W39" i="69"/>
  <c r="R8" i="69"/>
  <c r="R11" i="69"/>
  <c r="V13" i="69"/>
  <c r="R16" i="69"/>
  <c r="V18" i="69"/>
  <c r="V20" i="69"/>
  <c r="V22" i="69"/>
  <c r="V24" i="69"/>
  <c r="V26" i="69"/>
  <c r="V30" i="69"/>
  <c r="V34" i="69"/>
  <c r="V38" i="69"/>
  <c r="S42" i="69"/>
  <c r="W5" i="69"/>
  <c r="W7" i="69"/>
  <c r="W9" i="69"/>
  <c r="W11" i="69"/>
  <c r="W13" i="69"/>
  <c r="W15" i="69"/>
  <c r="W17" i="69"/>
  <c r="W19" i="69"/>
  <c r="W21" i="69"/>
  <c r="W23" i="69"/>
  <c r="W25" i="69"/>
  <c r="R28" i="69"/>
  <c r="W30" i="69"/>
  <c r="U33" i="69"/>
  <c r="R36" i="69"/>
  <c r="W38" i="69"/>
  <c r="V42" i="69"/>
  <c r="T7" i="69"/>
  <c r="T15" i="69"/>
  <c r="T23" i="69"/>
  <c r="S36" i="69"/>
  <c r="T64" i="69"/>
  <c r="T56" i="69"/>
  <c r="T48" i="69"/>
  <c r="T40" i="69"/>
  <c r="T32" i="69"/>
  <c r="W66" i="69"/>
  <c r="W58" i="69"/>
  <c r="W50" i="69"/>
  <c r="R68" i="69"/>
  <c r="R60" i="69"/>
  <c r="R52" i="69"/>
  <c r="U67" i="69"/>
  <c r="U51" i="69"/>
  <c r="U9" i="69"/>
  <c r="U25" i="69"/>
  <c r="U36" i="69"/>
  <c r="V40" i="69"/>
  <c r="R9" i="69"/>
  <c r="V11" i="69"/>
  <c r="R14" i="69"/>
  <c r="R17" i="69"/>
  <c r="R19" i="69"/>
  <c r="R21" i="69"/>
  <c r="R23" i="69"/>
  <c r="R25" i="69"/>
  <c r="S27" i="69"/>
  <c r="S31" i="69"/>
  <c r="S35" i="69"/>
  <c r="S39" i="69"/>
  <c r="R43" i="69"/>
  <c r="S6" i="69"/>
  <c r="S8" i="69"/>
  <c r="S10" i="69"/>
  <c r="S12" i="69"/>
  <c r="S14" i="69"/>
  <c r="S16" i="69"/>
  <c r="S18" i="69"/>
  <c r="S20" i="69"/>
  <c r="S22" i="69"/>
  <c r="S24" i="69"/>
  <c r="S26" i="69"/>
  <c r="W28" i="69"/>
  <c r="U31" i="69"/>
  <c r="R34" i="69"/>
  <c r="W36" i="69"/>
  <c r="U39" i="69"/>
  <c r="S43" i="69"/>
  <c r="T9" i="69"/>
  <c r="T17" i="69"/>
  <c r="T25" i="69"/>
  <c r="S40" i="69"/>
  <c r="T62" i="69"/>
  <c r="T54" i="69"/>
  <c r="T46" i="69"/>
  <c r="T38" i="69"/>
  <c r="T30" i="69"/>
  <c r="W64" i="69"/>
  <c r="W56" i="69"/>
  <c r="W48" i="69"/>
  <c r="R66" i="69"/>
  <c r="R58" i="69"/>
  <c r="R50" i="69"/>
  <c r="U63" i="69"/>
  <c r="U47" i="69"/>
  <c r="U13" i="69"/>
  <c r="U28" i="69"/>
  <c r="R37" i="69"/>
  <c r="R42" i="69"/>
  <c r="V9" i="69"/>
  <c r="R12" i="69"/>
  <c r="R15" i="69"/>
  <c r="V17" i="69"/>
  <c r="V19" i="69"/>
  <c r="V21" i="69"/>
  <c r="V23" i="69"/>
  <c r="V25" i="69"/>
  <c r="V28" i="69"/>
  <c r="V32" i="69"/>
  <c r="V36" i="69"/>
  <c r="W40" i="69"/>
  <c r="R44" i="69"/>
  <c r="W6" i="69"/>
  <c r="W8" i="69"/>
  <c r="W10" i="69"/>
  <c r="W12" i="69"/>
  <c r="W14" i="69"/>
  <c r="W16" i="69"/>
  <c r="W18" i="69"/>
  <c r="W20" i="69"/>
  <c r="W22" i="69"/>
  <c r="W24" i="69"/>
  <c r="W26" i="69"/>
  <c r="U29" i="69"/>
  <c r="R32" i="69"/>
  <c r="W34" i="69"/>
  <c r="U37" i="69"/>
  <c r="R40" i="69"/>
  <c r="V44" i="69"/>
  <c r="T11" i="69"/>
  <c r="T19" i="69"/>
  <c r="S28" i="69"/>
  <c r="T68" i="69"/>
  <c r="T60" i="69"/>
  <c r="T52" i="69"/>
  <c r="T44" i="69"/>
  <c r="T36" i="69"/>
  <c r="T28" i="69"/>
  <c r="W62" i="69"/>
  <c r="W54" i="69"/>
  <c r="W46" i="69"/>
  <c r="R64" i="69"/>
  <c r="R56" i="69"/>
  <c r="R48" i="69"/>
  <c r="U59" i="69"/>
  <c r="U43" i="69"/>
  <c r="U17" i="69"/>
  <c r="R31" i="69"/>
  <c r="R39" i="69"/>
  <c r="V7" i="69"/>
  <c r="R10" i="69"/>
  <c r="R13" i="69"/>
  <c r="V15" i="69"/>
  <c r="R18" i="69"/>
  <c r="R20" i="69"/>
  <c r="R22" i="69"/>
  <c r="R24" i="69"/>
  <c r="R26" i="69"/>
  <c r="S29" i="69"/>
  <c r="S33" i="69"/>
  <c r="S37" i="69"/>
  <c r="V41" i="69"/>
  <c r="S5" i="69"/>
  <c r="S7" i="69"/>
  <c r="S9" i="69"/>
  <c r="S11" i="69"/>
  <c r="S13" i="69"/>
  <c r="S15" i="69"/>
  <c r="S17" i="69"/>
  <c r="S19" i="69"/>
  <c r="S21" i="69"/>
  <c r="S23" i="69"/>
  <c r="S25" i="69"/>
  <c r="U27" i="69"/>
  <c r="R30" i="69"/>
  <c r="W32" i="69"/>
  <c r="U35" i="69"/>
  <c r="R38" i="69"/>
  <c r="W41" i="69"/>
  <c r="I4" i="69"/>
  <c r="K4" i="69"/>
  <c r="M4" i="69"/>
  <c r="W4" i="69"/>
  <c r="X4" i="69"/>
  <c r="Q68" i="68"/>
  <c r="Q67" i="68"/>
  <c r="Q66" i="68"/>
  <c r="Q65" i="68"/>
  <c r="Q64" i="68"/>
  <c r="Q63" i="68"/>
  <c r="Q62" i="68"/>
  <c r="Q61" i="68"/>
  <c r="Q60" i="68"/>
  <c r="Q59" i="68"/>
  <c r="Q58" i="68"/>
  <c r="Q57" i="68"/>
  <c r="Q56" i="68"/>
  <c r="Q55" i="68"/>
  <c r="Q54" i="68"/>
  <c r="Q53" i="68"/>
  <c r="Q52" i="68"/>
  <c r="Q51" i="68"/>
  <c r="Q50" i="68"/>
  <c r="Q49" i="68"/>
  <c r="Q48" i="68"/>
  <c r="Q47" i="68"/>
  <c r="Q46" i="68"/>
  <c r="Q45" i="68"/>
  <c r="Q44" i="68"/>
  <c r="Q43" i="68"/>
  <c r="Q42" i="68"/>
  <c r="Q41" i="68"/>
  <c r="Q40" i="68"/>
  <c r="Q39" i="68"/>
  <c r="Q38" i="68"/>
  <c r="Q37" i="68"/>
  <c r="Q36" i="68"/>
  <c r="Q35" i="68"/>
  <c r="Q34" i="68"/>
  <c r="Q33" i="68"/>
  <c r="Q32" i="68"/>
  <c r="Q31" i="68"/>
  <c r="Q30" i="68"/>
  <c r="Q28" i="68"/>
  <c r="Q27" i="68"/>
  <c r="Q26" i="68"/>
  <c r="Q25" i="68"/>
  <c r="Q24" i="68"/>
  <c r="Q23" i="68"/>
  <c r="Q22" i="68"/>
  <c r="Q21" i="68"/>
  <c r="Q20" i="68"/>
  <c r="Q19" i="68"/>
  <c r="Q18" i="68"/>
  <c r="Q17" i="68"/>
  <c r="Q16" i="68"/>
  <c r="Q15" i="68"/>
  <c r="Q14" i="68"/>
  <c r="Q13" i="68"/>
  <c r="Q12" i="68"/>
  <c r="Q11" i="68"/>
  <c r="Q10" i="68"/>
  <c r="Q9" i="68"/>
  <c r="Q8" i="68"/>
  <c r="Q5" i="68"/>
  <c r="C4" i="68"/>
  <c r="Q7" i="68"/>
  <c r="Q29" i="68"/>
  <c r="M68" i="68"/>
  <c r="E68" i="68"/>
  <c r="D68" i="68"/>
  <c r="C68" i="68"/>
  <c r="B68" i="68"/>
  <c r="A68" i="68"/>
  <c r="M67" i="68"/>
  <c r="E67" i="68"/>
  <c r="D67" i="68"/>
  <c r="C67" i="68"/>
  <c r="B67" i="68"/>
  <c r="A67" i="68"/>
  <c r="M66" i="68"/>
  <c r="E66" i="68"/>
  <c r="D66" i="68"/>
  <c r="C66" i="68"/>
  <c r="B66" i="68"/>
  <c r="A66" i="68"/>
  <c r="M65" i="68"/>
  <c r="E65" i="68"/>
  <c r="D65" i="68"/>
  <c r="C65" i="68"/>
  <c r="B65" i="68"/>
  <c r="A65" i="68"/>
  <c r="M64" i="68"/>
  <c r="E64" i="68"/>
  <c r="D64" i="68"/>
  <c r="C64" i="68"/>
  <c r="B64" i="68"/>
  <c r="A64" i="68"/>
  <c r="M63" i="68"/>
  <c r="E63" i="68"/>
  <c r="D63" i="68"/>
  <c r="A63" i="68"/>
  <c r="M62" i="68"/>
  <c r="E62" i="68"/>
  <c r="D62" i="68"/>
  <c r="C62" i="68"/>
  <c r="M61" i="68"/>
  <c r="E61" i="68"/>
  <c r="D61" i="68"/>
  <c r="C61" i="68"/>
  <c r="B61" i="68"/>
  <c r="A61" i="68"/>
  <c r="M60" i="68"/>
  <c r="E60" i="68"/>
  <c r="D60" i="68"/>
  <c r="C60" i="68"/>
  <c r="B60" i="68"/>
  <c r="A60" i="68"/>
  <c r="M59" i="68"/>
  <c r="E59" i="68"/>
  <c r="D59" i="68"/>
  <c r="C59" i="68"/>
  <c r="B59" i="68"/>
  <c r="A59" i="68"/>
  <c r="M58" i="68"/>
  <c r="E58" i="68"/>
  <c r="D58" i="68"/>
  <c r="C58" i="68"/>
  <c r="B58" i="68"/>
  <c r="A58" i="68"/>
  <c r="M57" i="68"/>
  <c r="E57" i="68"/>
  <c r="D57" i="68"/>
  <c r="A57" i="68"/>
  <c r="M56" i="68"/>
  <c r="E56" i="68"/>
  <c r="D56" i="68"/>
  <c r="C56" i="68"/>
  <c r="M55" i="68"/>
  <c r="E55" i="68"/>
  <c r="D55" i="68"/>
  <c r="C55" i="68"/>
  <c r="B55" i="68"/>
  <c r="A55" i="68"/>
  <c r="M54" i="68"/>
  <c r="E54" i="68"/>
  <c r="D54" i="68"/>
  <c r="C54" i="68"/>
  <c r="B54" i="68"/>
  <c r="A54" i="68"/>
  <c r="M53" i="68"/>
  <c r="E53" i="68"/>
  <c r="D53" i="68"/>
  <c r="C53" i="68"/>
  <c r="B53" i="68"/>
  <c r="A53" i="68"/>
  <c r="M52" i="68"/>
  <c r="E52" i="68"/>
  <c r="D52" i="68"/>
  <c r="B52" i="68"/>
  <c r="A52" i="68"/>
  <c r="M51" i="68"/>
  <c r="E51" i="68"/>
  <c r="D51" i="68"/>
  <c r="M50" i="68"/>
  <c r="E50" i="68"/>
  <c r="D50" i="68"/>
  <c r="M49" i="68"/>
  <c r="E49" i="68"/>
  <c r="D49" i="68"/>
  <c r="C49" i="68"/>
  <c r="B49" i="68"/>
  <c r="A49" i="68"/>
  <c r="M48" i="68"/>
  <c r="E48" i="68"/>
  <c r="D48" i="68"/>
  <c r="C48" i="68"/>
  <c r="B48" i="68"/>
  <c r="A48" i="68"/>
  <c r="M47" i="68"/>
  <c r="E47" i="68"/>
  <c r="D47" i="68"/>
  <c r="C47" i="68"/>
  <c r="B47" i="68"/>
  <c r="A47" i="68"/>
  <c r="M46" i="68"/>
  <c r="E46" i="68"/>
  <c r="D46" i="68"/>
  <c r="C46" i="68"/>
  <c r="B46" i="68"/>
  <c r="A46" i="68"/>
  <c r="M45" i="68"/>
  <c r="E45" i="68"/>
  <c r="D45" i="68"/>
  <c r="C45" i="68"/>
  <c r="B45" i="68"/>
  <c r="A45" i="68"/>
  <c r="M44" i="68"/>
  <c r="E44" i="68"/>
  <c r="D44" i="68"/>
  <c r="C44" i="68"/>
  <c r="B44" i="68"/>
  <c r="A44" i="68"/>
  <c r="M43" i="68"/>
  <c r="E43" i="68"/>
  <c r="D43" i="68"/>
  <c r="C43" i="68"/>
  <c r="B43" i="68"/>
  <c r="A43" i="68"/>
  <c r="M42" i="68"/>
  <c r="E42" i="68"/>
  <c r="D42" i="68"/>
  <c r="C42" i="68"/>
  <c r="B42" i="68"/>
  <c r="A42" i="68"/>
  <c r="M41" i="68"/>
  <c r="E41" i="68"/>
  <c r="D41" i="68"/>
  <c r="B41" i="68"/>
  <c r="A41" i="68"/>
  <c r="M40" i="68"/>
  <c r="E40" i="68"/>
  <c r="D40" i="68"/>
  <c r="M39" i="68"/>
  <c r="E39" i="68"/>
  <c r="D39" i="68"/>
  <c r="C39" i="68"/>
  <c r="B39" i="68"/>
  <c r="A39" i="68"/>
  <c r="M38" i="68"/>
  <c r="E38" i="68"/>
  <c r="D38" i="68"/>
  <c r="C38" i="68"/>
  <c r="B38" i="68"/>
  <c r="A38" i="68"/>
  <c r="M37" i="68"/>
  <c r="E37" i="68"/>
  <c r="D37" i="68"/>
  <c r="C37" i="68"/>
  <c r="B37" i="68"/>
  <c r="A37" i="68"/>
  <c r="M36" i="68"/>
  <c r="E36" i="68"/>
  <c r="D36" i="68"/>
  <c r="C36" i="68"/>
  <c r="B36" i="68"/>
  <c r="A36" i="68"/>
  <c r="M35" i="68"/>
  <c r="E35" i="68"/>
  <c r="D35" i="68"/>
  <c r="C35" i="68"/>
  <c r="B35" i="68"/>
  <c r="A35" i="68"/>
  <c r="M34" i="68"/>
  <c r="E34" i="68"/>
  <c r="D34" i="68"/>
  <c r="C34" i="68"/>
  <c r="B34" i="68"/>
  <c r="A34" i="68"/>
  <c r="M33" i="68"/>
  <c r="E33" i="68"/>
  <c r="D33" i="68"/>
  <c r="C33" i="68"/>
  <c r="B33" i="68"/>
  <c r="A33" i="68"/>
  <c r="M32" i="68"/>
  <c r="E32" i="68"/>
  <c r="D32" i="68"/>
  <c r="M31" i="68"/>
  <c r="E31" i="68"/>
  <c r="D31" i="68"/>
  <c r="C31" i="68"/>
  <c r="B31" i="68"/>
  <c r="A31" i="68"/>
  <c r="M30" i="68"/>
  <c r="E30" i="68"/>
  <c r="D30" i="68"/>
  <c r="C30" i="68"/>
  <c r="B30" i="68"/>
  <c r="A30" i="68"/>
  <c r="B29" i="68"/>
  <c r="A29" i="68"/>
  <c r="E28" i="68"/>
  <c r="D28" i="68"/>
  <c r="C28" i="68"/>
  <c r="B28" i="68"/>
  <c r="A28" i="68"/>
  <c r="M27" i="68"/>
  <c r="E27" i="68"/>
  <c r="D27" i="68"/>
  <c r="C27" i="68"/>
  <c r="B27" i="68"/>
  <c r="A27" i="68"/>
  <c r="M26" i="68"/>
  <c r="E26" i="68"/>
  <c r="D26" i="68"/>
  <c r="C26" i="68"/>
  <c r="B26" i="68"/>
  <c r="A26" i="68"/>
  <c r="M25" i="68"/>
  <c r="E25" i="68"/>
  <c r="D25" i="68"/>
  <c r="C25" i="68"/>
  <c r="B25" i="68"/>
  <c r="A25" i="68"/>
  <c r="M24" i="68"/>
  <c r="E24" i="68"/>
  <c r="D24" i="68"/>
  <c r="C24" i="68"/>
  <c r="B24" i="68"/>
  <c r="A24" i="68"/>
  <c r="M23" i="68"/>
  <c r="M22" i="68"/>
  <c r="E22" i="68"/>
  <c r="D22" i="68"/>
  <c r="C22" i="68"/>
  <c r="B22" i="68"/>
  <c r="A22" i="68"/>
  <c r="M21" i="68"/>
  <c r="E21" i="68"/>
  <c r="D21" i="68"/>
  <c r="C21" i="68"/>
  <c r="B21" i="68"/>
  <c r="A21" i="68"/>
  <c r="M20" i="68"/>
  <c r="E20" i="68"/>
  <c r="D20" i="68"/>
  <c r="C20" i="68"/>
  <c r="B20" i="68"/>
  <c r="A20" i="68"/>
  <c r="M19" i="68"/>
  <c r="E19" i="68"/>
  <c r="D19" i="68"/>
  <c r="C19" i="68"/>
  <c r="B19" i="68"/>
  <c r="A19" i="68"/>
  <c r="M18" i="68"/>
  <c r="E18" i="68"/>
  <c r="D18" i="68"/>
  <c r="C18" i="68"/>
  <c r="B18" i="68"/>
  <c r="A18" i="68"/>
  <c r="M17" i="68"/>
  <c r="E17" i="68"/>
  <c r="D17" i="68"/>
  <c r="C17" i="68"/>
  <c r="B17" i="68"/>
  <c r="A17" i="68"/>
  <c r="M16" i="68"/>
  <c r="D16" i="68"/>
  <c r="M15" i="68"/>
  <c r="E15" i="68"/>
  <c r="D15" i="68"/>
  <c r="C15" i="68"/>
  <c r="B15" i="68"/>
  <c r="A15" i="68"/>
  <c r="M14" i="68"/>
  <c r="E14" i="68"/>
  <c r="D14" i="68"/>
  <c r="C14" i="68"/>
  <c r="B14" i="68"/>
  <c r="A14" i="68"/>
  <c r="M13" i="68"/>
  <c r="E13" i="68"/>
  <c r="D13" i="68"/>
  <c r="C13" i="68"/>
  <c r="B13" i="68"/>
  <c r="A13" i="68"/>
  <c r="M12" i="68"/>
  <c r="E12" i="68"/>
  <c r="D12" i="68"/>
  <c r="C12" i="68"/>
  <c r="B12" i="68"/>
  <c r="A12" i="68"/>
  <c r="M11" i="68"/>
  <c r="D11" i="68"/>
  <c r="B11" i="68"/>
  <c r="A11" i="68"/>
  <c r="M10" i="68"/>
  <c r="D10" i="68"/>
  <c r="M9" i="68"/>
  <c r="E9" i="68"/>
  <c r="D9" i="68"/>
  <c r="C9" i="68"/>
  <c r="B9" i="68"/>
  <c r="A9" i="68"/>
  <c r="M8" i="68"/>
  <c r="E8" i="68"/>
  <c r="D8" i="68"/>
  <c r="C8" i="68"/>
  <c r="B8" i="68"/>
  <c r="A8" i="68"/>
  <c r="M7" i="68"/>
  <c r="B7" i="68"/>
  <c r="A7" i="68"/>
  <c r="B6" i="68"/>
  <c r="A6" i="68"/>
  <c r="M5" i="68"/>
  <c r="C5" i="68"/>
  <c r="B5" i="68"/>
  <c r="A5" i="68"/>
  <c r="B2" i="68"/>
  <c r="M6" i="68"/>
  <c r="Q6" i="68"/>
  <c r="M29" i="68"/>
  <c r="M28" i="68"/>
  <c r="R7" i="68"/>
  <c r="V6" i="68"/>
  <c r="T5" i="68"/>
  <c r="T9" i="68"/>
  <c r="V8" i="68"/>
  <c r="X7" i="68"/>
  <c r="T6" i="68"/>
  <c r="X5" i="68"/>
  <c r="S5" i="68"/>
  <c r="R9" i="68"/>
  <c r="T8" i="68"/>
  <c r="V7" i="68"/>
  <c r="X6" i="68"/>
  <c r="S6" i="68"/>
  <c r="W5" i="68"/>
  <c r="R5" i="68"/>
  <c r="X19" i="68"/>
  <c r="T7" i="68"/>
  <c r="T11" i="68"/>
  <c r="T15" i="68"/>
  <c r="X10" i="68"/>
  <c r="X14" i="68"/>
  <c r="T20" i="68"/>
  <c r="T13" i="68"/>
  <c r="T19" i="68"/>
  <c r="T10" i="68"/>
  <c r="T14" i="68"/>
  <c r="X68" i="68"/>
  <c r="X66" i="68"/>
  <c r="X64" i="68"/>
  <c r="X62" i="68"/>
  <c r="X60" i="68"/>
  <c r="X58" i="68"/>
  <c r="X56" i="68"/>
  <c r="X54" i="68"/>
  <c r="X52" i="68"/>
  <c r="X50" i="68"/>
  <c r="X48" i="68"/>
  <c r="X46" i="68"/>
  <c r="X44" i="68"/>
  <c r="X42" i="68"/>
  <c r="X40" i="68"/>
  <c r="X38" i="68"/>
  <c r="X36" i="68"/>
  <c r="X34" i="68"/>
  <c r="X32" i="68"/>
  <c r="X30" i="68"/>
  <c r="X28" i="68"/>
  <c r="V5" i="68"/>
  <c r="R8" i="68"/>
  <c r="R12" i="68"/>
  <c r="R16" i="68"/>
  <c r="V11" i="68"/>
  <c r="V15" i="68"/>
  <c r="R10" i="68"/>
  <c r="R14" i="68"/>
  <c r="X20" i="68"/>
  <c r="R11" i="68"/>
  <c r="R15" i="68"/>
  <c r="T68" i="68"/>
  <c r="T66" i="68"/>
  <c r="T64" i="68"/>
  <c r="T62" i="68"/>
  <c r="T60" i="68"/>
  <c r="T58" i="68"/>
  <c r="T56" i="68"/>
  <c r="T54" i="68"/>
  <c r="T52" i="68"/>
  <c r="T50" i="68"/>
  <c r="T48" i="68"/>
  <c r="T46" i="68"/>
  <c r="T44" i="68"/>
  <c r="T42" i="68"/>
  <c r="T40" i="68"/>
  <c r="T38" i="68"/>
  <c r="T36" i="68"/>
  <c r="T34" i="68"/>
  <c r="T32" i="68"/>
  <c r="T30" i="68"/>
  <c r="T28" i="68"/>
  <c r="W68" i="68"/>
  <c r="W66" i="68"/>
  <c r="W64" i="68"/>
  <c r="W62" i="68"/>
  <c r="W60" i="68"/>
  <c r="W58" i="68"/>
  <c r="W56" i="68"/>
  <c r="W54" i="68"/>
  <c r="W52" i="68"/>
  <c r="W50" i="68"/>
  <c r="W48" i="68"/>
  <c r="W46" i="68"/>
  <c r="W44" i="68"/>
  <c r="W42" i="68"/>
  <c r="W40" i="68"/>
  <c r="W38" i="68"/>
  <c r="W36" i="68"/>
  <c r="W34" i="68"/>
  <c r="R68" i="68"/>
  <c r="R66" i="68"/>
  <c r="R64" i="68"/>
  <c r="R62" i="68"/>
  <c r="R60" i="68"/>
  <c r="R58" i="68"/>
  <c r="R56" i="68"/>
  <c r="R54" i="68"/>
  <c r="R52" i="68"/>
  <c r="R50" i="68"/>
  <c r="R48" i="68"/>
  <c r="R46" i="68"/>
  <c r="R44" i="68"/>
  <c r="R42" i="68"/>
  <c r="R40" i="68"/>
  <c r="R38" i="68"/>
  <c r="R36" i="68"/>
  <c r="R34" i="68"/>
  <c r="U66" i="68"/>
  <c r="U62" i="68"/>
  <c r="U58" i="68"/>
  <c r="U54" i="68"/>
  <c r="U50" i="68"/>
  <c r="U46" i="68"/>
  <c r="U42" i="68"/>
  <c r="U38" i="68"/>
  <c r="U34" i="68"/>
  <c r="U6" i="68"/>
  <c r="U10" i="68"/>
  <c r="U14" i="68"/>
  <c r="U18" i="68"/>
  <c r="U22" i="68"/>
  <c r="U26" i="68"/>
  <c r="R29" i="68"/>
  <c r="W31" i="68"/>
  <c r="R6" i="68"/>
  <c r="X9" i="68"/>
  <c r="X13" i="68"/>
  <c r="T17" i="68"/>
  <c r="T12" i="68"/>
  <c r="T16" i="68"/>
  <c r="X11" i="68"/>
  <c r="X15" i="68"/>
  <c r="X8" i="68"/>
  <c r="X12" i="68"/>
  <c r="T18" i="68"/>
  <c r="X67" i="68"/>
  <c r="X65" i="68"/>
  <c r="X63" i="68"/>
  <c r="X61" i="68"/>
  <c r="X59" i="68"/>
  <c r="X57" i="68"/>
  <c r="X55" i="68"/>
  <c r="X53" i="68"/>
  <c r="X51" i="68"/>
  <c r="X49" i="68"/>
  <c r="X47" i="68"/>
  <c r="X45" i="68"/>
  <c r="X43" i="68"/>
  <c r="X41" i="68"/>
  <c r="X39" i="68"/>
  <c r="X37" i="68"/>
  <c r="X35" i="68"/>
  <c r="X33" i="68"/>
  <c r="X31" i="68"/>
  <c r="X29" i="68"/>
  <c r="X27" i="68"/>
  <c r="S68" i="68"/>
  <c r="S66" i="68"/>
  <c r="S64" i="68"/>
  <c r="S62" i="68"/>
  <c r="S60" i="68"/>
  <c r="S58" i="68"/>
  <c r="S56" i="68"/>
  <c r="S54" i="68"/>
  <c r="S52" i="68"/>
  <c r="S50" i="68"/>
  <c r="S48" i="68"/>
  <c r="S46" i="68"/>
  <c r="S44" i="68"/>
  <c r="S42" i="68"/>
  <c r="S40" i="68"/>
  <c r="S38" i="68"/>
  <c r="S36" i="68"/>
  <c r="S34" i="68"/>
  <c r="V67" i="68"/>
  <c r="V65" i="68"/>
  <c r="V63" i="68"/>
  <c r="V61" i="68"/>
  <c r="V59" i="68"/>
  <c r="V57" i="68"/>
  <c r="V55" i="68"/>
  <c r="V53" i="68"/>
  <c r="V51" i="68"/>
  <c r="V49" i="68"/>
  <c r="V47" i="68"/>
  <c r="V45" i="68"/>
  <c r="V43" i="68"/>
  <c r="V41" i="68"/>
  <c r="V39" i="68"/>
  <c r="V37" i="68"/>
  <c r="V35" i="68"/>
  <c r="V33" i="68"/>
  <c r="U65" i="68"/>
  <c r="U61" i="68"/>
  <c r="U57" i="68"/>
  <c r="W6" i="68"/>
  <c r="V10" i="68"/>
  <c r="V14" i="68"/>
  <c r="X18" i="68"/>
  <c r="R13" i="68"/>
  <c r="X17" i="68"/>
  <c r="V12" i="68"/>
  <c r="X16" i="68"/>
  <c r="V9" i="68"/>
  <c r="V13" i="68"/>
  <c r="T67" i="68"/>
  <c r="T65" i="68"/>
  <c r="T63" i="68"/>
  <c r="T61" i="68"/>
  <c r="T59" i="68"/>
  <c r="T57" i="68"/>
  <c r="T55" i="68"/>
  <c r="T53" i="68"/>
  <c r="T51" i="68"/>
  <c r="T49" i="68"/>
  <c r="T47" i="68"/>
  <c r="T45" i="68"/>
  <c r="T43" i="68"/>
  <c r="T41" i="68"/>
  <c r="T39" i="68"/>
  <c r="T37" i="68"/>
  <c r="T35" i="68"/>
  <c r="T33" i="68"/>
  <c r="T31" i="68"/>
  <c r="T29" i="68"/>
  <c r="T27" i="68"/>
  <c r="W67" i="68"/>
  <c r="W65" i="68"/>
  <c r="W63" i="68"/>
  <c r="W61" i="68"/>
  <c r="W59" i="68"/>
  <c r="W57" i="68"/>
  <c r="W55" i="68"/>
  <c r="W53" i="68"/>
  <c r="W51" i="68"/>
  <c r="W49" i="68"/>
  <c r="W47" i="68"/>
  <c r="W45" i="68"/>
  <c r="W43" i="68"/>
  <c r="W41" i="68"/>
  <c r="W39" i="68"/>
  <c r="W37" i="68"/>
  <c r="W35" i="68"/>
  <c r="W33" i="68"/>
  <c r="R67" i="68"/>
  <c r="R65" i="68"/>
  <c r="R63" i="68"/>
  <c r="R61" i="68"/>
  <c r="R59" i="68"/>
  <c r="R57" i="68"/>
  <c r="R55" i="68"/>
  <c r="R53" i="68"/>
  <c r="R51" i="68"/>
  <c r="R49" i="68"/>
  <c r="R47" i="68"/>
  <c r="R45" i="68"/>
  <c r="R43" i="68"/>
  <c r="R41" i="68"/>
  <c r="R39" i="68"/>
  <c r="R37" i="68"/>
  <c r="R35" i="68"/>
  <c r="U68" i="68"/>
  <c r="U64" i="68"/>
  <c r="U60" i="68"/>
  <c r="U56" i="68"/>
  <c r="S63" i="68"/>
  <c r="S55" i="68"/>
  <c r="S47" i="68"/>
  <c r="S39" i="68"/>
  <c r="V66" i="68"/>
  <c r="V58" i="68"/>
  <c r="V50" i="68"/>
  <c r="V42" i="68"/>
  <c r="V34" i="68"/>
  <c r="U55" i="68"/>
  <c r="U49" i="68"/>
  <c r="U44" i="68"/>
  <c r="U39" i="68"/>
  <c r="U33" i="68"/>
  <c r="U8" i="68"/>
  <c r="U13" i="68"/>
  <c r="U19" i="68"/>
  <c r="U24" i="68"/>
  <c r="U28" i="68"/>
  <c r="V32" i="68"/>
  <c r="V17" i="68"/>
  <c r="V19" i="68"/>
  <c r="V21" i="68"/>
  <c r="V23" i="68"/>
  <c r="V25" i="68"/>
  <c r="V28" i="68"/>
  <c r="W32" i="68"/>
  <c r="W8" i="68"/>
  <c r="W10" i="68"/>
  <c r="W12" i="68"/>
  <c r="W14" i="68"/>
  <c r="W16" i="68"/>
  <c r="W18" i="68"/>
  <c r="W20" i="68"/>
  <c r="W22" i="68"/>
  <c r="W24" i="68"/>
  <c r="W26" i="68"/>
  <c r="U29" i="68"/>
  <c r="R32" i="68"/>
  <c r="X22" i="68"/>
  <c r="X24" i="68"/>
  <c r="V27" i="68"/>
  <c r="V31" i="68"/>
  <c r="S57" i="68"/>
  <c r="S41" i="68"/>
  <c r="V52" i="68"/>
  <c r="U59" i="68"/>
  <c r="U40" i="68"/>
  <c r="U12" i="68"/>
  <c r="W27" i="68"/>
  <c r="R19" i="68"/>
  <c r="S27" i="68"/>
  <c r="S12" i="68"/>
  <c r="S18" i="68"/>
  <c r="S24" i="68"/>
  <c r="W28" i="68"/>
  <c r="T22" i="68"/>
  <c r="S30" i="68"/>
  <c r="X26" i="68"/>
  <c r="S61" i="68"/>
  <c r="S53" i="68"/>
  <c r="S45" i="68"/>
  <c r="S37" i="68"/>
  <c r="V64" i="68"/>
  <c r="V56" i="68"/>
  <c r="V48" i="68"/>
  <c r="V40" i="68"/>
  <c r="U67" i="68"/>
  <c r="U53" i="68"/>
  <c r="U48" i="68"/>
  <c r="U43" i="68"/>
  <c r="U37" i="68"/>
  <c r="U32" i="68"/>
  <c r="U9" i="68"/>
  <c r="U15" i="68"/>
  <c r="U20" i="68"/>
  <c r="U25" i="68"/>
  <c r="W29" i="68"/>
  <c r="S33" i="68"/>
  <c r="R18" i="68"/>
  <c r="R20" i="68"/>
  <c r="R22" i="68"/>
  <c r="R24" i="68"/>
  <c r="R26" i="68"/>
  <c r="S29" i="68"/>
  <c r="S7" i="68"/>
  <c r="S9" i="68"/>
  <c r="S11" i="68"/>
  <c r="S13" i="68"/>
  <c r="S15" i="68"/>
  <c r="S17" i="68"/>
  <c r="S19" i="68"/>
  <c r="S21" i="68"/>
  <c r="S23" i="68"/>
  <c r="S25" i="68"/>
  <c r="U27" i="68"/>
  <c r="R30" i="68"/>
  <c r="T21" i="68"/>
  <c r="T23" i="68"/>
  <c r="T25" i="68"/>
  <c r="S28" i="68"/>
  <c r="S32" i="68"/>
  <c r="S49" i="68"/>
  <c r="V60" i="68"/>
  <c r="V36" i="68"/>
  <c r="U45" i="68"/>
  <c r="U7" i="68"/>
  <c r="U23" i="68"/>
  <c r="R17" i="68"/>
  <c r="R23" i="68"/>
  <c r="S31" i="68"/>
  <c r="S10" i="68"/>
  <c r="S16" i="68"/>
  <c r="S22" i="68"/>
  <c r="U31" i="68"/>
  <c r="T26" i="68"/>
  <c r="S67" i="68"/>
  <c r="S59" i="68"/>
  <c r="S51" i="68"/>
  <c r="S43" i="68"/>
  <c r="S35" i="68"/>
  <c r="V62" i="68"/>
  <c r="V54" i="68"/>
  <c r="V46" i="68"/>
  <c r="V38" i="68"/>
  <c r="U63" i="68"/>
  <c r="U52" i="68"/>
  <c r="U47" i="68"/>
  <c r="U41" i="68"/>
  <c r="U36" i="68"/>
  <c r="U5" i="68"/>
  <c r="U11" i="68"/>
  <c r="U16" i="68"/>
  <c r="U21" i="68"/>
  <c r="R27" i="68"/>
  <c r="U30" i="68"/>
  <c r="V16" i="68"/>
  <c r="V18" i="68"/>
  <c r="V20" i="68"/>
  <c r="V22" i="68"/>
  <c r="V24" i="68"/>
  <c r="V26" i="68"/>
  <c r="V30" i="68"/>
  <c r="W7" i="68"/>
  <c r="W9" i="68"/>
  <c r="W11" i="68"/>
  <c r="W13" i="68"/>
  <c r="W15" i="68"/>
  <c r="W17" i="68"/>
  <c r="W19" i="68"/>
  <c r="W21" i="68"/>
  <c r="W23" i="68"/>
  <c r="W25" i="68"/>
  <c r="R28" i="68"/>
  <c r="W30" i="68"/>
  <c r="X21" i="68"/>
  <c r="X23" i="68"/>
  <c r="X25" i="68"/>
  <c r="V29" i="68"/>
  <c r="R33" i="68"/>
  <c r="S65" i="68"/>
  <c r="V68" i="68"/>
  <c r="V44" i="68"/>
  <c r="U51" i="68"/>
  <c r="U35" i="68"/>
  <c r="U17" i="68"/>
  <c r="R31" i="68"/>
  <c r="R21" i="68"/>
  <c r="R25" i="68"/>
  <c r="S8" i="68"/>
  <c r="S14" i="68"/>
  <c r="S20" i="68"/>
  <c r="S26" i="68"/>
  <c r="T24" i="68"/>
  <c r="L4" i="68"/>
  <c r="I4" i="68"/>
  <c r="K4" i="68"/>
  <c r="M4" i="68"/>
  <c r="X4" i="68"/>
  <c r="W4" i="68"/>
  <c r="Q68" i="46"/>
  <c r="Q67" i="46"/>
  <c r="Q66" i="46"/>
  <c r="Q65" i="46"/>
  <c r="Q64" i="46"/>
  <c r="Q63" i="46"/>
  <c r="Q62" i="46"/>
  <c r="Q61" i="46"/>
  <c r="Q60" i="46"/>
  <c r="Q59" i="46"/>
  <c r="Q58" i="46"/>
  <c r="Q57" i="46"/>
  <c r="Q56" i="46"/>
  <c r="Q55" i="46"/>
  <c r="Q54" i="46"/>
  <c r="Q53" i="46"/>
  <c r="Q52" i="46"/>
  <c r="Q51" i="46"/>
  <c r="Q50" i="46"/>
  <c r="Q49" i="46"/>
  <c r="Q48" i="46"/>
  <c r="Q47" i="46"/>
  <c r="Q46" i="46"/>
  <c r="Q45" i="46"/>
  <c r="Q44" i="46"/>
  <c r="Q43" i="46"/>
  <c r="Q42" i="46"/>
  <c r="Q41" i="46"/>
  <c r="Q40" i="46"/>
  <c r="Q39" i="46"/>
  <c r="Q38" i="46"/>
  <c r="Q37" i="46"/>
  <c r="Q36" i="46"/>
  <c r="Q35" i="46"/>
  <c r="Q34" i="46"/>
  <c r="Q33" i="46"/>
  <c r="Q32" i="46"/>
  <c r="Q31" i="46"/>
  <c r="Q30" i="46"/>
  <c r="Q29" i="46"/>
  <c r="Q28" i="46"/>
  <c r="Q27" i="46"/>
  <c r="Q25" i="46"/>
  <c r="Q24" i="46"/>
  <c r="Q23" i="46"/>
  <c r="Q22" i="46"/>
  <c r="Q21" i="46"/>
  <c r="Q20" i="46"/>
  <c r="Q19" i="46"/>
  <c r="Q18" i="46"/>
  <c r="Q17" i="46"/>
  <c r="Q16" i="46"/>
  <c r="Q15" i="46"/>
  <c r="Q14" i="46"/>
  <c r="Q13" i="46"/>
  <c r="Q12" i="46"/>
  <c r="Q11" i="46"/>
  <c r="Q10" i="46"/>
  <c r="Q7" i="46"/>
  <c r="Q6" i="46"/>
  <c r="Q5" i="46"/>
  <c r="Q9" i="46"/>
  <c r="M68" i="46"/>
  <c r="E68" i="46"/>
  <c r="D68" i="46"/>
  <c r="C68" i="46"/>
  <c r="B68" i="46"/>
  <c r="A68" i="46"/>
  <c r="M67" i="46"/>
  <c r="E67" i="46"/>
  <c r="D67" i="46"/>
  <c r="C67" i="46"/>
  <c r="B67" i="46"/>
  <c r="A67" i="46"/>
  <c r="M66" i="46"/>
  <c r="E66" i="46"/>
  <c r="C66" i="46"/>
  <c r="B66" i="46"/>
  <c r="A66" i="46"/>
  <c r="M65" i="46"/>
  <c r="E65" i="46"/>
  <c r="D65" i="46"/>
  <c r="C65" i="46"/>
  <c r="B65" i="46"/>
  <c r="A65" i="46"/>
  <c r="M64" i="46"/>
  <c r="E64" i="46"/>
  <c r="D64" i="46"/>
  <c r="C64" i="46"/>
  <c r="B64" i="46"/>
  <c r="A64" i="46"/>
  <c r="M63" i="46"/>
  <c r="E63" i="46"/>
  <c r="D63" i="46"/>
  <c r="A63" i="46"/>
  <c r="M62" i="46"/>
  <c r="E62" i="46"/>
  <c r="D62" i="46"/>
  <c r="C62" i="46"/>
  <c r="M61" i="46"/>
  <c r="E61" i="46"/>
  <c r="C61" i="46"/>
  <c r="B61" i="46"/>
  <c r="A61" i="46"/>
  <c r="M60" i="46"/>
  <c r="E60" i="46"/>
  <c r="D60" i="46"/>
  <c r="C60" i="46"/>
  <c r="B60" i="46"/>
  <c r="A60" i="46"/>
  <c r="M59" i="46"/>
  <c r="E59" i="46"/>
  <c r="D59" i="46"/>
  <c r="C59" i="46"/>
  <c r="B59" i="46"/>
  <c r="A59" i="46"/>
  <c r="M58" i="46"/>
  <c r="E58" i="46"/>
  <c r="D58" i="46"/>
  <c r="C58" i="46"/>
  <c r="B58" i="46"/>
  <c r="A58" i="46"/>
  <c r="M57" i="46"/>
  <c r="E57" i="46"/>
  <c r="D57" i="46"/>
  <c r="A57" i="46"/>
  <c r="M56" i="46"/>
  <c r="E56" i="46"/>
  <c r="D56" i="46"/>
  <c r="C56" i="46"/>
  <c r="M55" i="46"/>
  <c r="E55" i="46"/>
  <c r="C55" i="46"/>
  <c r="B55" i="46"/>
  <c r="A55" i="46"/>
  <c r="M54" i="46"/>
  <c r="E54" i="46"/>
  <c r="C54" i="46"/>
  <c r="B54" i="46"/>
  <c r="A54" i="46"/>
  <c r="M53" i="46"/>
  <c r="E53" i="46"/>
  <c r="C53" i="46"/>
  <c r="B53" i="46"/>
  <c r="A53" i="46"/>
  <c r="M52" i="46"/>
  <c r="E52" i="46"/>
  <c r="D52" i="46"/>
  <c r="B52" i="46"/>
  <c r="A52" i="46"/>
  <c r="M51" i="46"/>
  <c r="E51" i="46"/>
  <c r="D51" i="46"/>
  <c r="M50" i="46"/>
  <c r="E50" i="46"/>
  <c r="D50" i="46"/>
  <c r="M49" i="46"/>
  <c r="E49" i="46"/>
  <c r="D49" i="46"/>
  <c r="C49" i="46"/>
  <c r="B49" i="46"/>
  <c r="A49" i="46"/>
  <c r="M48" i="46"/>
  <c r="E48" i="46"/>
  <c r="D48" i="46"/>
  <c r="C48" i="46"/>
  <c r="B48" i="46"/>
  <c r="A48" i="46"/>
  <c r="M47" i="46"/>
  <c r="E47" i="46"/>
  <c r="D47" i="46"/>
  <c r="C47" i="46"/>
  <c r="B47" i="46"/>
  <c r="A47" i="46"/>
  <c r="M46" i="46"/>
  <c r="E46" i="46"/>
  <c r="C46" i="46"/>
  <c r="B46" i="46"/>
  <c r="A46" i="46"/>
  <c r="M45" i="46"/>
  <c r="E45" i="46"/>
  <c r="D45" i="46"/>
  <c r="C45" i="46"/>
  <c r="B45" i="46"/>
  <c r="A45" i="46"/>
  <c r="M44" i="46"/>
  <c r="E44" i="46"/>
  <c r="C44" i="46"/>
  <c r="B44" i="46"/>
  <c r="A44" i="46"/>
  <c r="M43" i="46"/>
  <c r="E43" i="46"/>
  <c r="C43" i="46"/>
  <c r="B43" i="46"/>
  <c r="A43" i="46"/>
  <c r="M42" i="46"/>
  <c r="E42" i="46"/>
  <c r="C42" i="46"/>
  <c r="B42" i="46"/>
  <c r="A42" i="46"/>
  <c r="M41" i="46"/>
  <c r="E41" i="46"/>
  <c r="D41" i="46"/>
  <c r="B41" i="46"/>
  <c r="A41" i="46"/>
  <c r="M40" i="46"/>
  <c r="E40" i="46"/>
  <c r="D40" i="46"/>
  <c r="M39" i="46"/>
  <c r="E39" i="46"/>
  <c r="D39" i="46"/>
  <c r="C39" i="46"/>
  <c r="B39" i="46"/>
  <c r="A39" i="46"/>
  <c r="M38" i="46"/>
  <c r="E38" i="46"/>
  <c r="D38" i="46"/>
  <c r="C38" i="46"/>
  <c r="B38" i="46"/>
  <c r="A38" i="46"/>
  <c r="M37" i="46"/>
  <c r="E37" i="46"/>
  <c r="D37" i="46"/>
  <c r="C37" i="46"/>
  <c r="B37" i="46"/>
  <c r="A37" i="46"/>
  <c r="M36" i="46"/>
  <c r="E36" i="46"/>
  <c r="D36" i="46"/>
  <c r="C36" i="46"/>
  <c r="B36" i="46"/>
  <c r="A36" i="46"/>
  <c r="M35" i="46"/>
  <c r="E35" i="46"/>
  <c r="D35" i="46"/>
  <c r="C35" i="46"/>
  <c r="B35" i="46"/>
  <c r="A35" i="46"/>
  <c r="M34" i="46"/>
  <c r="E34" i="46"/>
  <c r="D34" i="46"/>
  <c r="C34" i="46"/>
  <c r="B34" i="46"/>
  <c r="A34" i="46"/>
  <c r="M33" i="46"/>
  <c r="E33" i="46"/>
  <c r="D33" i="46"/>
  <c r="C33" i="46"/>
  <c r="B33" i="46"/>
  <c r="A33" i="46"/>
  <c r="M32" i="46"/>
  <c r="E32" i="46"/>
  <c r="D32" i="46"/>
  <c r="M31" i="46"/>
  <c r="E31" i="46"/>
  <c r="D31" i="46"/>
  <c r="C31" i="46"/>
  <c r="B31" i="46"/>
  <c r="A31" i="46"/>
  <c r="M30" i="46"/>
  <c r="E30" i="46"/>
  <c r="D30" i="46"/>
  <c r="C30" i="46"/>
  <c r="B30" i="46"/>
  <c r="A30" i="46"/>
  <c r="M29" i="46"/>
  <c r="E29" i="46"/>
  <c r="D29" i="46"/>
  <c r="C29" i="46"/>
  <c r="B29" i="46"/>
  <c r="A29" i="46"/>
  <c r="M28" i="46"/>
  <c r="E28" i="46"/>
  <c r="C28" i="46"/>
  <c r="B28" i="46"/>
  <c r="A28" i="46"/>
  <c r="M27" i="46"/>
  <c r="E27" i="46"/>
  <c r="C27" i="46"/>
  <c r="B27" i="46"/>
  <c r="A27" i="46"/>
  <c r="B26" i="46"/>
  <c r="A26" i="46"/>
  <c r="M25" i="46"/>
  <c r="E25" i="46"/>
  <c r="C25" i="46"/>
  <c r="B25" i="46"/>
  <c r="A25" i="46"/>
  <c r="E24" i="46"/>
  <c r="C24" i="46"/>
  <c r="M24" i="46"/>
  <c r="B24" i="46"/>
  <c r="A24" i="46"/>
  <c r="M23" i="46"/>
  <c r="M22" i="46"/>
  <c r="E22" i="46"/>
  <c r="D22" i="46"/>
  <c r="C22" i="46"/>
  <c r="B22" i="46"/>
  <c r="A22" i="46"/>
  <c r="M21" i="46"/>
  <c r="E21" i="46"/>
  <c r="D21" i="46"/>
  <c r="C21" i="46"/>
  <c r="B21" i="46"/>
  <c r="A21" i="46"/>
  <c r="M20" i="46"/>
  <c r="E20" i="46"/>
  <c r="C20" i="46"/>
  <c r="B20" i="46"/>
  <c r="A20" i="46"/>
  <c r="M19" i="46"/>
  <c r="E19" i="46"/>
  <c r="C19" i="46"/>
  <c r="B19" i="46"/>
  <c r="A19" i="46"/>
  <c r="M18" i="46"/>
  <c r="E18" i="46"/>
  <c r="C18" i="46"/>
  <c r="B18" i="46"/>
  <c r="A18" i="46"/>
  <c r="M17" i="46"/>
  <c r="E17" i="46"/>
  <c r="C17" i="46"/>
  <c r="B17" i="46"/>
  <c r="A17" i="46"/>
  <c r="M16" i="46"/>
  <c r="D16" i="46"/>
  <c r="M15" i="46"/>
  <c r="E15" i="46"/>
  <c r="C15" i="46"/>
  <c r="B15" i="46"/>
  <c r="A15" i="46"/>
  <c r="M14" i="46"/>
  <c r="E14" i="46"/>
  <c r="C14" i="46"/>
  <c r="B14" i="46"/>
  <c r="A14" i="46"/>
  <c r="M13" i="46"/>
  <c r="E13" i="46"/>
  <c r="C13" i="46"/>
  <c r="B13" i="46"/>
  <c r="A13" i="46"/>
  <c r="M12" i="46"/>
  <c r="E12" i="46"/>
  <c r="C12" i="46"/>
  <c r="B12" i="46"/>
  <c r="A12" i="46"/>
  <c r="M11" i="46"/>
  <c r="D11" i="46"/>
  <c r="B11" i="46"/>
  <c r="A11" i="46"/>
  <c r="M10" i="46"/>
  <c r="D10" i="46"/>
  <c r="B9" i="46"/>
  <c r="A9" i="46"/>
  <c r="B8" i="46"/>
  <c r="A8" i="46"/>
  <c r="M7" i="46"/>
  <c r="E7" i="46"/>
  <c r="C7" i="46"/>
  <c r="B7" i="46"/>
  <c r="A7" i="46"/>
  <c r="M6" i="46"/>
  <c r="E6" i="46"/>
  <c r="C6" i="46"/>
  <c r="B6" i="46"/>
  <c r="A6" i="46"/>
  <c r="M5" i="46"/>
  <c r="B5" i="46"/>
  <c r="A5" i="46"/>
  <c r="B2" i="46"/>
  <c r="Q8" i="46"/>
  <c r="D43" i="46"/>
  <c r="M9" i="46"/>
  <c r="C4" i="46"/>
  <c r="M8" i="46"/>
  <c r="M26" i="46"/>
  <c r="Q26" i="46"/>
  <c r="X9" i="46"/>
  <c r="R63" i="46"/>
  <c r="S33" i="46"/>
  <c r="R22" i="46"/>
  <c r="R14" i="46"/>
  <c r="R6" i="46"/>
  <c r="V41" i="46"/>
  <c r="W27" i="46"/>
  <c r="U40" i="46"/>
  <c r="V52" i="46"/>
  <c r="V28" i="46"/>
  <c r="V19" i="46"/>
  <c r="V11" i="46"/>
  <c r="R64" i="46"/>
  <c r="R35" i="46"/>
  <c r="U23" i="46"/>
  <c r="R67" i="46"/>
  <c r="S35" i="46"/>
  <c r="R23" i="46"/>
  <c r="R15" i="46"/>
  <c r="R7" i="46"/>
  <c r="V45" i="46"/>
  <c r="R29" i="46"/>
  <c r="U8" i="46"/>
  <c r="V40" i="46"/>
  <c r="V24" i="46"/>
  <c r="V16" i="46"/>
  <c r="V8" i="46"/>
  <c r="R44" i="46"/>
  <c r="U25" i="46"/>
  <c r="U64" i="46"/>
  <c r="W44" i="46"/>
  <c r="W54" i="46"/>
  <c r="W66" i="46"/>
  <c r="T34" i="46"/>
  <c r="T44" i="46"/>
  <c r="T56" i="46"/>
  <c r="T66" i="46"/>
  <c r="R37" i="46"/>
  <c r="X19" i="46"/>
  <c r="X8" i="46"/>
  <c r="S7" i="46"/>
  <c r="S15" i="46"/>
  <c r="S23" i="46"/>
  <c r="W32" i="46"/>
  <c r="R58" i="46"/>
  <c r="T14" i="46"/>
  <c r="T22" i="46"/>
  <c r="S34" i="46"/>
  <c r="V62" i="46"/>
  <c r="X61" i="46"/>
  <c r="X53" i="46"/>
  <c r="X45" i="46"/>
  <c r="X37" i="46"/>
  <c r="X29" i="46"/>
  <c r="S64" i="46"/>
  <c r="S56" i="46"/>
  <c r="S48" i="46"/>
  <c r="S40" i="46"/>
  <c r="U59" i="46"/>
  <c r="U43" i="46"/>
  <c r="U13" i="46"/>
  <c r="W7" i="46"/>
  <c r="W15" i="46"/>
  <c r="W23" i="46"/>
  <c r="U33" i="46"/>
  <c r="V59" i="46"/>
  <c r="X14" i="46"/>
  <c r="X22" i="46"/>
  <c r="V35" i="46"/>
  <c r="R65" i="46"/>
  <c r="T61" i="46"/>
  <c r="T53" i="46"/>
  <c r="T45" i="46"/>
  <c r="T37" i="46"/>
  <c r="T29" i="46"/>
  <c r="W63" i="46"/>
  <c r="W55" i="46"/>
  <c r="W47" i="46"/>
  <c r="W39" i="46"/>
  <c r="U58" i="46"/>
  <c r="U42" i="46"/>
  <c r="U14" i="46"/>
  <c r="S8" i="46"/>
  <c r="S16" i="46"/>
  <c r="S24" i="46"/>
  <c r="R34" i="46"/>
  <c r="R62" i="46"/>
  <c r="T15" i="46"/>
  <c r="T23" i="46"/>
  <c r="S36" i="46"/>
  <c r="X68" i="46"/>
  <c r="X60" i="46"/>
  <c r="X52" i="46"/>
  <c r="X44" i="46"/>
  <c r="X36" i="46"/>
  <c r="X28" i="46"/>
  <c r="S63" i="46"/>
  <c r="S55" i="46"/>
  <c r="S47" i="46"/>
  <c r="S39" i="46"/>
  <c r="U57" i="46"/>
  <c r="U41" i="46"/>
  <c r="U15" i="46"/>
  <c r="W8" i="46"/>
  <c r="W16" i="46"/>
  <c r="W24" i="46"/>
  <c r="T8" i="46"/>
  <c r="S9" i="46"/>
  <c r="S17" i="46"/>
  <c r="S25" i="46"/>
  <c r="U35" i="46"/>
  <c r="R66" i="46"/>
  <c r="T16" i="46"/>
  <c r="T24" i="46"/>
  <c r="V38" i="46"/>
  <c r="X67" i="46"/>
  <c r="X59" i="46"/>
  <c r="X51" i="46"/>
  <c r="X43" i="46"/>
  <c r="X35" i="46"/>
  <c r="X27" i="46"/>
  <c r="S62" i="46"/>
  <c r="S54" i="46"/>
  <c r="S46" i="46"/>
  <c r="S38" i="46"/>
  <c r="U55" i="46"/>
  <c r="U39" i="46"/>
  <c r="T5" i="46"/>
  <c r="W9" i="46"/>
  <c r="W17" i="46"/>
  <c r="W25" i="46"/>
  <c r="R36" i="46"/>
  <c r="V67" i="46"/>
  <c r="X16" i="46"/>
  <c r="X24" i="46"/>
  <c r="R41" i="46"/>
  <c r="T67" i="46"/>
  <c r="T59" i="46"/>
  <c r="T51" i="46"/>
  <c r="T43" i="46"/>
  <c r="T35" i="46"/>
  <c r="T27" i="46"/>
  <c r="W61" i="46"/>
  <c r="W53" i="46"/>
  <c r="W45" i="46"/>
  <c r="W37" i="46"/>
  <c r="U54" i="46"/>
  <c r="U38" i="46"/>
  <c r="X6" i="46"/>
  <c r="S10" i="46"/>
  <c r="S18" i="46"/>
  <c r="S26" i="46"/>
  <c r="R38" i="46"/>
  <c r="T9" i="46"/>
  <c r="T17" i="46"/>
  <c r="T25" i="46"/>
  <c r="V42" i="46"/>
  <c r="X66" i="46"/>
  <c r="X58" i="46"/>
  <c r="X50" i="46"/>
  <c r="X42" i="46"/>
  <c r="X34" i="46"/>
  <c r="X26" i="46"/>
  <c r="S61" i="46"/>
  <c r="S53" i="46"/>
  <c r="S45" i="46"/>
  <c r="S37" i="46"/>
  <c r="U53" i="46"/>
  <c r="U37" i="46"/>
  <c r="W10" i="46"/>
  <c r="W18" i="46"/>
  <c r="W26" i="46"/>
  <c r="V39" i="46"/>
  <c r="S11" i="46"/>
  <c r="S19" i="46"/>
  <c r="U27" i="46"/>
  <c r="R42" i="46"/>
  <c r="T10" i="46"/>
  <c r="T18" i="46"/>
  <c r="T26" i="46"/>
  <c r="V46" i="46"/>
  <c r="X65" i="46"/>
  <c r="X57" i="46"/>
  <c r="X49" i="46"/>
  <c r="X41" i="46"/>
  <c r="X33" i="46"/>
  <c r="S68" i="46"/>
  <c r="S60" i="46"/>
  <c r="S52" i="46"/>
  <c r="S44" i="46"/>
  <c r="U67" i="46"/>
  <c r="U51" i="46"/>
  <c r="U5" i="46"/>
  <c r="T7" i="46"/>
  <c r="W11" i="46"/>
  <c r="W19" i="46"/>
  <c r="R28" i="46"/>
  <c r="V43" i="46"/>
  <c r="X10" i="46"/>
  <c r="X18" i="46"/>
  <c r="V27" i="46"/>
  <c r="R49" i="46"/>
  <c r="T65" i="46"/>
  <c r="T57" i="46"/>
  <c r="T49" i="46"/>
  <c r="T41" i="46"/>
  <c r="T33" i="46"/>
  <c r="W67" i="46"/>
  <c r="W59" i="46"/>
  <c r="W51" i="46"/>
  <c r="W43" i="46"/>
  <c r="U66" i="46"/>
  <c r="U50" i="46"/>
  <c r="U6" i="46"/>
  <c r="V66" i="46"/>
  <c r="S12" i="46"/>
  <c r="S20" i="46"/>
  <c r="W28" i="46"/>
  <c r="R46" i="46"/>
  <c r="T11" i="46"/>
  <c r="T19" i="46"/>
  <c r="S28" i="46"/>
  <c r="V50" i="46"/>
  <c r="X64" i="46"/>
  <c r="X56" i="46"/>
  <c r="X48" i="46"/>
  <c r="X40" i="46"/>
  <c r="X32" i="46"/>
  <c r="S67" i="46"/>
  <c r="S59" i="46"/>
  <c r="S51" i="46"/>
  <c r="S43" i="46"/>
  <c r="U65" i="46"/>
  <c r="U49" i="46"/>
  <c r="U7" i="46"/>
  <c r="T6" i="46"/>
  <c r="W12" i="46"/>
  <c r="W20" i="46"/>
  <c r="U29" i="46"/>
  <c r="S5" i="46"/>
  <c r="S13" i="46"/>
  <c r="S21" i="46"/>
  <c r="R30" i="46"/>
  <c r="R50" i="46"/>
  <c r="T12" i="46"/>
  <c r="T20" i="46"/>
  <c r="S30" i="46"/>
  <c r="V54" i="46"/>
  <c r="X63" i="46"/>
  <c r="X55" i="46"/>
  <c r="X47" i="46"/>
  <c r="X39" i="46"/>
  <c r="X31" i="46"/>
  <c r="S66" i="46"/>
  <c r="S58" i="46"/>
  <c r="S50" i="46"/>
  <c r="S42" i="46"/>
  <c r="U63" i="46"/>
  <c r="U47" i="46"/>
  <c r="U9" i="46"/>
  <c r="W5" i="46"/>
  <c r="W13" i="46"/>
  <c r="W21" i="46"/>
  <c r="W30" i="46"/>
  <c r="V51" i="46"/>
  <c r="X12" i="46"/>
  <c r="X20" i="46"/>
  <c r="V31" i="46"/>
  <c r="R57" i="46"/>
  <c r="T63" i="46"/>
  <c r="T55" i="46"/>
  <c r="T47" i="46"/>
  <c r="T39" i="46"/>
  <c r="T31" i="46"/>
  <c r="W65" i="46"/>
  <c r="W57" i="46"/>
  <c r="W49" i="46"/>
  <c r="W41" i="46"/>
  <c r="U62" i="46"/>
  <c r="U46" i="46"/>
  <c r="U10" i="46"/>
  <c r="S6" i="46"/>
  <c r="S14" i="46"/>
  <c r="S22" i="46"/>
  <c r="U31" i="46"/>
  <c r="R54" i="46"/>
  <c r="T13" i="46"/>
  <c r="T21" i="46"/>
  <c r="S32" i="46"/>
  <c r="V58" i="46"/>
  <c r="X62" i="46"/>
  <c r="X54" i="46"/>
  <c r="X46" i="46"/>
  <c r="X38" i="46"/>
  <c r="X30" i="46"/>
  <c r="S65" i="46"/>
  <c r="S57" i="46"/>
  <c r="S49" i="46"/>
  <c r="S41" i="46"/>
  <c r="U61" i="46"/>
  <c r="U45" i="46"/>
  <c r="U11" i="46"/>
  <c r="W6" i="46"/>
  <c r="W14" i="46"/>
  <c r="W22" i="46"/>
  <c r="R32" i="46"/>
  <c r="V55" i="46"/>
  <c r="X13" i="46"/>
  <c r="X21" i="46"/>
  <c r="V33" i="46"/>
  <c r="R61" i="46"/>
  <c r="T62" i="46"/>
  <c r="T54" i="46"/>
  <c r="T46" i="46"/>
  <c r="T38" i="46"/>
  <c r="T30" i="46"/>
  <c r="W64" i="46"/>
  <c r="W56" i="46"/>
  <c r="W48" i="46"/>
  <c r="W40" i="46"/>
  <c r="U60" i="46"/>
  <c r="U21" i="46"/>
  <c r="W33" i="46"/>
  <c r="R60" i="46"/>
  <c r="R55" i="46"/>
  <c r="S29" i="46"/>
  <c r="R20" i="46"/>
  <c r="R12" i="46"/>
  <c r="V65" i="46"/>
  <c r="W35" i="46"/>
  <c r="U24" i="46"/>
  <c r="U56" i="46"/>
  <c r="V44" i="46"/>
  <c r="V25" i="46"/>
  <c r="V17" i="46"/>
  <c r="V9" i="46"/>
  <c r="R56" i="46"/>
  <c r="U32" i="46"/>
  <c r="U19" i="46"/>
  <c r="R59" i="46"/>
  <c r="S31" i="46"/>
  <c r="R21" i="46"/>
  <c r="R13" i="46"/>
  <c r="R5" i="46"/>
  <c r="V37" i="46"/>
  <c r="U26" i="46"/>
  <c r="U48" i="46"/>
  <c r="V34" i="46"/>
  <c r="V22" i="46"/>
  <c r="V14" i="46"/>
  <c r="V6" i="46"/>
  <c r="V36" i="46"/>
  <c r="U17" i="46"/>
  <c r="U68" i="46"/>
  <c r="W46" i="46"/>
  <c r="W58" i="46"/>
  <c r="W68" i="46"/>
  <c r="T36" i="46"/>
  <c r="T48" i="46"/>
  <c r="T58" i="46"/>
  <c r="T68" i="46"/>
  <c r="V29" i="46"/>
  <c r="X17" i="46"/>
  <c r="V63" i="46"/>
  <c r="R47" i="46"/>
  <c r="R26" i="46"/>
  <c r="R18" i="46"/>
  <c r="R10" i="46"/>
  <c r="V57" i="46"/>
  <c r="R33" i="46"/>
  <c r="U20" i="46"/>
  <c r="V68" i="46"/>
  <c r="W36" i="46"/>
  <c r="V23" i="46"/>
  <c r="V15" i="46"/>
  <c r="V7" i="46"/>
  <c r="R48" i="46"/>
  <c r="W29" i="46"/>
  <c r="U12" i="46"/>
  <c r="R51" i="46"/>
  <c r="S27" i="46"/>
  <c r="R19" i="46"/>
  <c r="R11" i="46"/>
  <c r="V61" i="46"/>
  <c r="U34" i="46"/>
  <c r="U22" i="46"/>
  <c r="V64" i="46"/>
  <c r="V30" i="46"/>
  <c r="V20" i="46"/>
  <c r="V12" i="46"/>
  <c r="R68" i="46"/>
  <c r="R31" i="46"/>
  <c r="U36" i="46"/>
  <c r="W38" i="46"/>
  <c r="W50" i="46"/>
  <c r="W60" i="46"/>
  <c r="T28" i="46"/>
  <c r="T40" i="46"/>
  <c r="T50" i="46"/>
  <c r="T60" i="46"/>
  <c r="R53" i="46"/>
  <c r="X25" i="46"/>
  <c r="X15" i="46"/>
  <c r="V47" i="46"/>
  <c r="V56" i="46"/>
  <c r="R39" i="46"/>
  <c r="R24" i="46"/>
  <c r="R16" i="46"/>
  <c r="R8" i="46"/>
  <c r="V49" i="46"/>
  <c r="U30" i="46"/>
  <c r="U16" i="46"/>
  <c r="V60" i="46"/>
  <c r="V32" i="46"/>
  <c r="V21" i="46"/>
  <c r="V13" i="46"/>
  <c r="V5" i="46"/>
  <c r="R40" i="46"/>
  <c r="R27" i="46"/>
  <c r="U44" i="46"/>
  <c r="R43" i="46"/>
  <c r="R25" i="46"/>
  <c r="R17" i="46"/>
  <c r="R9" i="46"/>
  <c r="V53" i="46"/>
  <c r="W31" i="46"/>
  <c r="U18" i="46"/>
  <c r="V48" i="46"/>
  <c r="V26" i="46"/>
  <c r="V18" i="46"/>
  <c r="V10" i="46"/>
  <c r="R52" i="46"/>
  <c r="U28" i="46"/>
  <c r="U52" i="46"/>
  <c r="W42" i="46"/>
  <c r="W52" i="46"/>
  <c r="W62" i="46"/>
  <c r="T32" i="46"/>
  <c r="T42" i="46"/>
  <c r="T52" i="46"/>
  <c r="T64" i="46"/>
  <c r="R45" i="46"/>
  <c r="X23" i="46"/>
  <c r="X11" i="46"/>
  <c r="W34" i="46"/>
  <c r="M4" i="46"/>
  <c r="W4" i="46"/>
  <c r="D6" i="46"/>
  <c r="X5" i="46"/>
  <c r="D7" i="46"/>
  <c r="D54" i="46"/>
  <c r="D53" i="46"/>
  <c r="D44" i="46"/>
  <c r="D61" i="46"/>
  <c r="D66" i="46"/>
  <c r="D12" i="46"/>
  <c r="D55" i="46"/>
  <c r="D18" i="46"/>
  <c r="D15" i="46"/>
  <c r="D17" i="46"/>
  <c r="D13" i="46"/>
  <c r="D20" i="46"/>
  <c r="D42" i="46"/>
  <c r="C5" i="46"/>
  <c r="I4" i="46"/>
  <c r="K4" i="46"/>
  <c r="D14" i="46"/>
  <c r="D46" i="46"/>
  <c r="D28" i="46"/>
  <c r="D27" i="46"/>
  <c r="D25" i="46"/>
  <c r="D24" i="46"/>
  <c r="D19" i="46"/>
  <c r="X7" i="46"/>
  <c r="X4" i="46"/>
  <c r="L4" i="46"/>
  <c r="Q68" i="47"/>
  <c r="Q67" i="47"/>
  <c r="Q66" i="47"/>
  <c r="Q65" i="47"/>
  <c r="Q64" i="47"/>
  <c r="Q63" i="47"/>
  <c r="Q62" i="47"/>
  <c r="Q61" i="47"/>
  <c r="Q60" i="47"/>
  <c r="Q59" i="47"/>
  <c r="Q58" i="47"/>
  <c r="Q57" i="47"/>
  <c r="Q56" i="47"/>
  <c r="Q55" i="47"/>
  <c r="Q54" i="47"/>
  <c r="Q53" i="47"/>
  <c r="Q52" i="47"/>
  <c r="Q51" i="47"/>
  <c r="Q50" i="47"/>
  <c r="Q49" i="47"/>
  <c r="Q48" i="47"/>
  <c r="Q47" i="47"/>
  <c r="Q46" i="47"/>
  <c r="Q45" i="47"/>
  <c r="Q44" i="47"/>
  <c r="Q43" i="47"/>
  <c r="Q42" i="47"/>
  <c r="Q41" i="47"/>
  <c r="Q40" i="47"/>
  <c r="Q39" i="47"/>
  <c r="Q38" i="47"/>
  <c r="Q37" i="47"/>
  <c r="Q36" i="47"/>
  <c r="Q35" i="47"/>
  <c r="Q34" i="47"/>
  <c r="Q33" i="47"/>
  <c r="Q32" i="47"/>
  <c r="Q31" i="47"/>
  <c r="Q30" i="47"/>
  <c r="Q29" i="47"/>
  <c r="Q28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7" i="47"/>
  <c r="Q6" i="47"/>
  <c r="Q5" i="47"/>
  <c r="Q9" i="47"/>
  <c r="M68" i="47"/>
  <c r="E68" i="47"/>
  <c r="D68" i="47"/>
  <c r="C68" i="47"/>
  <c r="B68" i="47"/>
  <c r="A68" i="47"/>
  <c r="M67" i="47"/>
  <c r="E67" i="47"/>
  <c r="D67" i="47"/>
  <c r="C67" i="47"/>
  <c r="B67" i="47"/>
  <c r="A67" i="47"/>
  <c r="M66" i="47"/>
  <c r="E66" i="47"/>
  <c r="C66" i="47"/>
  <c r="B66" i="47"/>
  <c r="A66" i="47"/>
  <c r="M65" i="47"/>
  <c r="E65" i="47"/>
  <c r="D65" i="47"/>
  <c r="C65" i="47"/>
  <c r="B65" i="47"/>
  <c r="A65" i="47"/>
  <c r="M64" i="47"/>
  <c r="E64" i="47"/>
  <c r="D64" i="47"/>
  <c r="C64" i="47"/>
  <c r="B64" i="47"/>
  <c r="A64" i="47"/>
  <c r="M63" i="47"/>
  <c r="E63" i="47"/>
  <c r="D63" i="47"/>
  <c r="A63" i="47"/>
  <c r="M62" i="47"/>
  <c r="E62" i="47"/>
  <c r="D62" i="47"/>
  <c r="C62" i="47"/>
  <c r="M61" i="47"/>
  <c r="E61" i="47"/>
  <c r="C61" i="47"/>
  <c r="B61" i="47"/>
  <c r="A61" i="47"/>
  <c r="M60" i="47"/>
  <c r="E60" i="47"/>
  <c r="D60" i="47"/>
  <c r="C60" i="47"/>
  <c r="B60" i="47"/>
  <c r="A60" i="47"/>
  <c r="M59" i="47"/>
  <c r="E59" i="47"/>
  <c r="D59" i="47"/>
  <c r="C59" i="47"/>
  <c r="B59" i="47"/>
  <c r="A59" i="47"/>
  <c r="M58" i="47"/>
  <c r="E58" i="47"/>
  <c r="D58" i="47"/>
  <c r="C58" i="47"/>
  <c r="B58" i="47"/>
  <c r="A58" i="47"/>
  <c r="M57" i="47"/>
  <c r="E57" i="47"/>
  <c r="D57" i="47"/>
  <c r="A57" i="47"/>
  <c r="M56" i="47"/>
  <c r="E56" i="47"/>
  <c r="D56" i="47"/>
  <c r="C56" i="47"/>
  <c r="M55" i="47"/>
  <c r="E55" i="47"/>
  <c r="C55" i="47"/>
  <c r="B55" i="47"/>
  <c r="A55" i="47"/>
  <c r="M54" i="47"/>
  <c r="E54" i="47"/>
  <c r="C54" i="47"/>
  <c r="B54" i="47"/>
  <c r="A54" i="47"/>
  <c r="M53" i="47"/>
  <c r="E53" i="47"/>
  <c r="C53" i="47"/>
  <c r="B53" i="47"/>
  <c r="A53" i="47"/>
  <c r="M52" i="47"/>
  <c r="E52" i="47"/>
  <c r="D52" i="47"/>
  <c r="B52" i="47"/>
  <c r="A52" i="47"/>
  <c r="M51" i="47"/>
  <c r="E51" i="47"/>
  <c r="D51" i="47"/>
  <c r="M50" i="47"/>
  <c r="E50" i="47"/>
  <c r="D50" i="47"/>
  <c r="M49" i="47"/>
  <c r="E49" i="47"/>
  <c r="D49" i="47"/>
  <c r="C49" i="47"/>
  <c r="B49" i="47"/>
  <c r="A49" i="47"/>
  <c r="M48" i="47"/>
  <c r="E48" i="47"/>
  <c r="D48" i="47"/>
  <c r="C48" i="47"/>
  <c r="B48" i="47"/>
  <c r="A48" i="47"/>
  <c r="M47" i="47"/>
  <c r="E47" i="47"/>
  <c r="D47" i="47"/>
  <c r="C47" i="47"/>
  <c r="B47" i="47"/>
  <c r="A47" i="47"/>
  <c r="M46" i="47"/>
  <c r="E46" i="47"/>
  <c r="C46" i="47"/>
  <c r="B46" i="47"/>
  <c r="A46" i="47"/>
  <c r="M45" i="47"/>
  <c r="E45" i="47"/>
  <c r="D45" i="47"/>
  <c r="C45" i="47"/>
  <c r="B45" i="47"/>
  <c r="A45" i="47"/>
  <c r="M44" i="47"/>
  <c r="E44" i="47"/>
  <c r="C44" i="47"/>
  <c r="B44" i="47"/>
  <c r="A44" i="47"/>
  <c r="M43" i="47"/>
  <c r="E43" i="47"/>
  <c r="C43" i="47"/>
  <c r="B43" i="47"/>
  <c r="A43" i="47"/>
  <c r="M42" i="47"/>
  <c r="E42" i="47"/>
  <c r="C42" i="47"/>
  <c r="B42" i="47"/>
  <c r="A42" i="47"/>
  <c r="M41" i="47"/>
  <c r="E41" i="47"/>
  <c r="D41" i="47"/>
  <c r="B41" i="47"/>
  <c r="A41" i="47"/>
  <c r="M40" i="47"/>
  <c r="E40" i="47"/>
  <c r="D40" i="47"/>
  <c r="M39" i="47"/>
  <c r="E39" i="47"/>
  <c r="D39" i="47"/>
  <c r="C39" i="47"/>
  <c r="B39" i="47"/>
  <c r="A39" i="47"/>
  <c r="M38" i="47"/>
  <c r="E38" i="47"/>
  <c r="D38" i="47"/>
  <c r="C38" i="47"/>
  <c r="B38" i="47"/>
  <c r="A38" i="47"/>
  <c r="M37" i="47"/>
  <c r="E37" i="47"/>
  <c r="D37" i="47"/>
  <c r="C37" i="47"/>
  <c r="B37" i="47"/>
  <c r="A37" i="47"/>
  <c r="M36" i="47"/>
  <c r="E36" i="47"/>
  <c r="D36" i="47"/>
  <c r="C36" i="47"/>
  <c r="B36" i="47"/>
  <c r="A36" i="47"/>
  <c r="M35" i="47"/>
  <c r="E35" i="47"/>
  <c r="D35" i="47"/>
  <c r="C35" i="47"/>
  <c r="B35" i="47"/>
  <c r="A35" i="47"/>
  <c r="M34" i="47"/>
  <c r="E34" i="47"/>
  <c r="D34" i="47"/>
  <c r="C34" i="47"/>
  <c r="B34" i="47"/>
  <c r="A34" i="47"/>
  <c r="M33" i="47"/>
  <c r="E33" i="47"/>
  <c r="D33" i="47"/>
  <c r="C33" i="47"/>
  <c r="B33" i="47"/>
  <c r="A33" i="47"/>
  <c r="M32" i="47"/>
  <c r="E32" i="47"/>
  <c r="D32" i="47"/>
  <c r="M31" i="47"/>
  <c r="E31" i="47"/>
  <c r="D31" i="47"/>
  <c r="C31" i="47"/>
  <c r="B31" i="47"/>
  <c r="A31" i="47"/>
  <c r="M30" i="47"/>
  <c r="E30" i="47"/>
  <c r="D30" i="47"/>
  <c r="C30" i="47"/>
  <c r="B30" i="47"/>
  <c r="A30" i="47"/>
  <c r="M29" i="47"/>
  <c r="E29" i="47"/>
  <c r="D29" i="47"/>
  <c r="C29" i="47"/>
  <c r="B29" i="47"/>
  <c r="A29" i="47"/>
  <c r="M28" i="47"/>
  <c r="E28" i="47"/>
  <c r="C28" i="47"/>
  <c r="B28" i="47"/>
  <c r="A28" i="47"/>
  <c r="B27" i="47"/>
  <c r="A27" i="47"/>
  <c r="E26" i="47"/>
  <c r="C26" i="47"/>
  <c r="M26" i="47"/>
  <c r="B26" i="47"/>
  <c r="A26" i="47"/>
  <c r="M25" i="47"/>
  <c r="E25" i="47"/>
  <c r="C25" i="47"/>
  <c r="B25" i="47"/>
  <c r="A25" i="47"/>
  <c r="M24" i="47"/>
  <c r="E24" i="47"/>
  <c r="C24" i="47"/>
  <c r="B24" i="47"/>
  <c r="A24" i="47"/>
  <c r="M23" i="47"/>
  <c r="M22" i="47"/>
  <c r="E22" i="47"/>
  <c r="D22" i="47"/>
  <c r="C22" i="47"/>
  <c r="B22" i="47"/>
  <c r="A22" i="47"/>
  <c r="M21" i="47"/>
  <c r="E21" i="47"/>
  <c r="D21" i="47"/>
  <c r="C21" i="47"/>
  <c r="B21" i="47"/>
  <c r="A21" i="47"/>
  <c r="M20" i="47"/>
  <c r="E20" i="47"/>
  <c r="C20" i="47"/>
  <c r="B20" i="47"/>
  <c r="A20" i="47"/>
  <c r="M19" i="47"/>
  <c r="E19" i="47"/>
  <c r="C19" i="47"/>
  <c r="B19" i="47"/>
  <c r="A19" i="47"/>
  <c r="M18" i="47"/>
  <c r="E18" i="47"/>
  <c r="C18" i="47"/>
  <c r="B18" i="47"/>
  <c r="A18" i="47"/>
  <c r="M17" i="47"/>
  <c r="E17" i="47"/>
  <c r="C17" i="47"/>
  <c r="B17" i="47"/>
  <c r="A17" i="47"/>
  <c r="M16" i="47"/>
  <c r="D16" i="47"/>
  <c r="M15" i="47"/>
  <c r="E15" i="47"/>
  <c r="C15" i="47"/>
  <c r="B15" i="47"/>
  <c r="A15" i="47"/>
  <c r="M14" i="47"/>
  <c r="E14" i="47"/>
  <c r="C14" i="47"/>
  <c r="B14" i="47"/>
  <c r="A14" i="47"/>
  <c r="M13" i="47"/>
  <c r="E13" i="47"/>
  <c r="C13" i="47"/>
  <c r="B13" i="47"/>
  <c r="A13" i="47"/>
  <c r="M12" i="47"/>
  <c r="E12" i="47"/>
  <c r="C12" i="47"/>
  <c r="B12" i="47"/>
  <c r="A12" i="47"/>
  <c r="M11" i="47"/>
  <c r="D11" i="47"/>
  <c r="B11" i="47"/>
  <c r="A11" i="47"/>
  <c r="M10" i="47"/>
  <c r="D10" i="47"/>
  <c r="B9" i="47"/>
  <c r="A9" i="47"/>
  <c r="B8" i="47"/>
  <c r="A8" i="47"/>
  <c r="M7" i="47"/>
  <c r="E7" i="47"/>
  <c r="C7" i="47"/>
  <c r="B7" i="47"/>
  <c r="A7" i="47"/>
  <c r="M6" i="47"/>
  <c r="E6" i="47"/>
  <c r="C6" i="47"/>
  <c r="B6" i="47"/>
  <c r="A6" i="47"/>
  <c r="M5" i="47"/>
  <c r="B5" i="47"/>
  <c r="A5" i="47"/>
  <c r="B2" i="47"/>
  <c r="D43" i="47"/>
  <c r="C4" i="47"/>
  <c r="M9" i="47"/>
  <c r="M8" i="47"/>
  <c r="Q8" i="47"/>
  <c r="M27" i="47"/>
  <c r="Q27" i="47"/>
  <c r="S5" i="47"/>
  <c r="R34" i="47"/>
  <c r="X6" i="47"/>
  <c r="W9" i="47"/>
  <c r="V12" i="47"/>
  <c r="X14" i="47"/>
  <c r="W17" i="47"/>
  <c r="V20" i="47"/>
  <c r="X23" i="47"/>
  <c r="R29" i="47"/>
  <c r="T6" i="47"/>
  <c r="S9" i="47"/>
  <c r="R12" i="47"/>
  <c r="T14" i="47"/>
  <c r="S17" i="47"/>
  <c r="R20" i="47"/>
  <c r="T22" i="47"/>
  <c r="R26" i="47"/>
  <c r="S33" i="47"/>
  <c r="W7" i="47"/>
  <c r="V10" i="47"/>
  <c r="X12" i="47"/>
  <c r="W15" i="47"/>
  <c r="V18" i="47"/>
  <c r="X20" i="47"/>
  <c r="R24" i="47"/>
  <c r="V28" i="47"/>
  <c r="R6" i="47"/>
  <c r="T8" i="47"/>
  <c r="S11" i="47"/>
  <c r="R14" i="47"/>
  <c r="T16" i="47"/>
  <c r="S19" i="47"/>
  <c r="R22" i="47"/>
  <c r="R25" i="47"/>
  <c r="R30" i="47"/>
  <c r="X68" i="47"/>
  <c r="X66" i="47"/>
  <c r="X64" i="47"/>
  <c r="X62" i="47"/>
  <c r="X60" i="47"/>
  <c r="X58" i="47"/>
  <c r="X56" i="47"/>
  <c r="X54" i="47"/>
  <c r="X52" i="47"/>
  <c r="X50" i="47"/>
  <c r="X48" i="47"/>
  <c r="X46" i="47"/>
  <c r="X44" i="47"/>
  <c r="X42" i="47"/>
  <c r="X40" i="47"/>
  <c r="X38" i="47"/>
  <c r="X36" i="47"/>
  <c r="X34" i="47"/>
  <c r="X32" i="47"/>
  <c r="X30" i="47"/>
  <c r="X28" i="47"/>
  <c r="X26" i="47"/>
  <c r="S67" i="47"/>
  <c r="S65" i="47"/>
  <c r="S63" i="47"/>
  <c r="S61" i="47"/>
  <c r="S59" i="47"/>
  <c r="S57" i="47"/>
  <c r="S55" i="47"/>
  <c r="S53" i="47"/>
  <c r="S51" i="47"/>
  <c r="S49" i="47"/>
  <c r="S47" i="47"/>
  <c r="S45" i="47"/>
  <c r="S43" i="47"/>
  <c r="S41" i="47"/>
  <c r="S39" i="47"/>
  <c r="S37" i="47"/>
  <c r="R68" i="47"/>
  <c r="R66" i="47"/>
  <c r="R64" i="47"/>
  <c r="R62" i="47"/>
  <c r="R60" i="47"/>
  <c r="R58" i="47"/>
  <c r="R56" i="47"/>
  <c r="R54" i="47"/>
  <c r="R52" i="47"/>
  <c r="R50" i="47"/>
  <c r="R48" i="47"/>
  <c r="R5" i="47"/>
  <c r="T7" i="47"/>
  <c r="S10" i="47"/>
  <c r="R13" i="47"/>
  <c r="T15" i="47"/>
  <c r="S18" i="47"/>
  <c r="R21" i="47"/>
  <c r="V24" i="47"/>
  <c r="W30" i="47"/>
  <c r="V7" i="47"/>
  <c r="X9" i="47"/>
  <c r="W12" i="47"/>
  <c r="V15" i="47"/>
  <c r="X17" i="47"/>
  <c r="W20" i="47"/>
  <c r="S23" i="47"/>
  <c r="S28" i="47"/>
  <c r="T5" i="47"/>
  <c r="S8" i="47"/>
  <c r="R11" i="47"/>
  <c r="T13" i="47"/>
  <c r="S16" i="47"/>
  <c r="R19" i="47"/>
  <c r="T21" i="47"/>
  <c r="W25" i="47"/>
  <c r="V31" i="47"/>
  <c r="W6" i="47"/>
  <c r="V9" i="47"/>
  <c r="X11" i="47"/>
  <c r="W14" i="47"/>
  <c r="V17" i="47"/>
  <c r="X19" i="47"/>
  <c r="X22" i="47"/>
  <c r="X25" i="47"/>
  <c r="W31" i="47"/>
  <c r="T68" i="47"/>
  <c r="T66" i="47"/>
  <c r="T64" i="47"/>
  <c r="T62" i="47"/>
  <c r="T60" i="47"/>
  <c r="T58" i="47"/>
  <c r="T56" i="47"/>
  <c r="T54" i="47"/>
  <c r="T52" i="47"/>
  <c r="T50" i="47"/>
  <c r="T48" i="47"/>
  <c r="T46" i="47"/>
  <c r="T44" i="47"/>
  <c r="T42" i="47"/>
  <c r="T40" i="47"/>
  <c r="T38" i="47"/>
  <c r="T36" i="47"/>
  <c r="T34" i="47"/>
  <c r="T32" i="47"/>
  <c r="T30" i="47"/>
  <c r="T28" i="47"/>
  <c r="W68" i="47"/>
  <c r="W66" i="47"/>
  <c r="W64" i="47"/>
  <c r="W62" i="47"/>
  <c r="W60" i="47"/>
  <c r="W58" i="47"/>
  <c r="W56" i="47"/>
  <c r="W54" i="47"/>
  <c r="W52" i="47"/>
  <c r="W50" i="47"/>
  <c r="W48" i="47"/>
  <c r="W46" i="47"/>
  <c r="W44" i="47"/>
  <c r="W42" i="47"/>
  <c r="W40" i="47"/>
  <c r="W38" i="47"/>
  <c r="W36" i="47"/>
  <c r="V67" i="47"/>
  <c r="V65" i="47"/>
  <c r="V63" i="47"/>
  <c r="V61" i="47"/>
  <c r="V59" i="47"/>
  <c r="V57" i="47"/>
  <c r="V55" i="47"/>
  <c r="V53" i="47"/>
  <c r="V51" i="47"/>
  <c r="V49" i="47"/>
  <c r="V47" i="47"/>
  <c r="W5" i="47"/>
  <c r="V8" i="47"/>
  <c r="X10" i="47"/>
  <c r="W13" i="47"/>
  <c r="V16" i="47"/>
  <c r="X18" i="47"/>
  <c r="W21" i="47"/>
  <c r="S25" i="47"/>
  <c r="R33" i="47"/>
  <c r="R8" i="47"/>
  <c r="T10" i="47"/>
  <c r="S13" i="47"/>
  <c r="R16" i="47"/>
  <c r="T18" i="47"/>
  <c r="S21" i="47"/>
  <c r="W24" i="47"/>
  <c r="S29" i="47"/>
  <c r="V6" i="47"/>
  <c r="X8" i="47"/>
  <c r="W11" i="47"/>
  <c r="V14" i="47"/>
  <c r="X16" i="47"/>
  <c r="W19" i="47"/>
  <c r="W22" i="47"/>
  <c r="S26" i="47"/>
  <c r="V32" i="47"/>
  <c r="S7" i="47"/>
  <c r="R10" i="47"/>
  <c r="T12" i="47"/>
  <c r="S15" i="47"/>
  <c r="R18" i="47"/>
  <c r="T20" i="47"/>
  <c r="V23" i="47"/>
  <c r="T26" i="47"/>
  <c r="X67" i="47"/>
  <c r="X65" i="47"/>
  <c r="X63" i="47"/>
  <c r="X61" i="47"/>
  <c r="X59" i="47"/>
  <c r="X57" i="47"/>
  <c r="X55" i="47"/>
  <c r="X53" i="47"/>
  <c r="X51" i="47"/>
  <c r="X49" i="47"/>
  <c r="X47" i="47"/>
  <c r="X45" i="47"/>
  <c r="X43" i="47"/>
  <c r="X41" i="47"/>
  <c r="X39" i="47"/>
  <c r="X37" i="47"/>
  <c r="X35" i="47"/>
  <c r="X33" i="47"/>
  <c r="X31" i="47"/>
  <c r="X29" i="47"/>
  <c r="X27" i="47"/>
  <c r="S68" i="47"/>
  <c r="S66" i="47"/>
  <c r="S64" i="47"/>
  <c r="S62" i="47"/>
  <c r="S60" i="47"/>
  <c r="S58" i="47"/>
  <c r="S56" i="47"/>
  <c r="S54" i="47"/>
  <c r="S52" i="47"/>
  <c r="S50" i="47"/>
  <c r="S48" i="47"/>
  <c r="S46" i="47"/>
  <c r="S44" i="47"/>
  <c r="S42" i="47"/>
  <c r="S40" i="47"/>
  <c r="S38" i="47"/>
  <c r="S36" i="47"/>
  <c r="R67" i="47"/>
  <c r="R65" i="47"/>
  <c r="R63" i="47"/>
  <c r="R61" i="47"/>
  <c r="R59" i="47"/>
  <c r="R57" i="47"/>
  <c r="R55" i="47"/>
  <c r="R53" i="47"/>
  <c r="R51" i="47"/>
  <c r="R49" i="47"/>
  <c r="S6" i="47"/>
  <c r="R9" i="47"/>
  <c r="T11" i="47"/>
  <c r="S14" i="47"/>
  <c r="R17" i="47"/>
  <c r="T19" i="47"/>
  <c r="S22" i="47"/>
  <c r="W26" i="47"/>
  <c r="W8" i="47"/>
  <c r="V11" i="47"/>
  <c r="X13" i="47"/>
  <c r="W16" i="47"/>
  <c r="V19" i="47"/>
  <c r="X21" i="47"/>
  <c r="V25" i="47"/>
  <c r="S32" i="47"/>
  <c r="R7" i="47"/>
  <c r="T9" i="47"/>
  <c r="S12" i="47"/>
  <c r="R15" i="47"/>
  <c r="T17" i="47"/>
  <c r="S20" i="47"/>
  <c r="T23" i="47"/>
  <c r="V27" i="47"/>
  <c r="V5" i="47"/>
  <c r="W10" i="47"/>
  <c r="V13" i="47"/>
  <c r="X15" i="47"/>
  <c r="W18" i="47"/>
  <c r="V21" i="47"/>
  <c r="T24" i="47"/>
  <c r="W27" i="47"/>
  <c r="T67" i="47"/>
  <c r="T65" i="47"/>
  <c r="T63" i="47"/>
  <c r="T61" i="47"/>
  <c r="T59" i="47"/>
  <c r="T57" i="47"/>
  <c r="T55" i="47"/>
  <c r="T53" i="47"/>
  <c r="T51" i="47"/>
  <c r="T49" i="47"/>
  <c r="T47" i="47"/>
  <c r="T45" i="47"/>
  <c r="T43" i="47"/>
  <c r="T41" i="47"/>
  <c r="T39" i="47"/>
  <c r="T37" i="47"/>
  <c r="T35" i="47"/>
  <c r="T33" i="47"/>
  <c r="T31" i="47"/>
  <c r="T29" i="47"/>
  <c r="T27" i="47"/>
  <c r="W67" i="47"/>
  <c r="W65" i="47"/>
  <c r="W63" i="47"/>
  <c r="W61" i="47"/>
  <c r="W59" i="47"/>
  <c r="W57" i="47"/>
  <c r="W55" i="47"/>
  <c r="W53" i="47"/>
  <c r="W51" i="47"/>
  <c r="W49" i="47"/>
  <c r="W47" i="47"/>
  <c r="W45" i="47"/>
  <c r="W43" i="47"/>
  <c r="W41" i="47"/>
  <c r="W39" i="47"/>
  <c r="W37" i="47"/>
  <c r="V68" i="47"/>
  <c r="V66" i="47"/>
  <c r="V64" i="47"/>
  <c r="V62" i="47"/>
  <c r="V60" i="47"/>
  <c r="V58" i="47"/>
  <c r="V56" i="47"/>
  <c r="V54" i="47"/>
  <c r="V52" i="47"/>
  <c r="V50" i="47"/>
  <c r="V48" i="47"/>
  <c r="V46" i="47"/>
  <c r="V44" i="47"/>
  <c r="V42" i="47"/>
  <c r="V45" i="47"/>
  <c r="R43" i="47"/>
  <c r="V40" i="47"/>
  <c r="V38" i="47"/>
  <c r="V36" i="47"/>
  <c r="U66" i="47"/>
  <c r="U62" i="47"/>
  <c r="U58" i="47"/>
  <c r="U54" i="47"/>
  <c r="U50" i="47"/>
  <c r="U46" i="47"/>
  <c r="U42" i="47"/>
  <c r="U38" i="47"/>
  <c r="U34" i="47"/>
  <c r="U30" i="47"/>
  <c r="U26" i="47"/>
  <c r="U22" i="47"/>
  <c r="U8" i="47"/>
  <c r="U12" i="47"/>
  <c r="U16" i="47"/>
  <c r="U20" i="47"/>
  <c r="W23" i="47"/>
  <c r="V26" i="47"/>
  <c r="V34" i="47"/>
  <c r="W35" i="47"/>
  <c r="S34" i="47"/>
  <c r="R45" i="47"/>
  <c r="R42" i="47"/>
  <c r="R40" i="47"/>
  <c r="R38" i="47"/>
  <c r="R36" i="47"/>
  <c r="U65" i="47"/>
  <c r="U61" i="47"/>
  <c r="U57" i="47"/>
  <c r="U53" i="47"/>
  <c r="U49" i="47"/>
  <c r="U45" i="47"/>
  <c r="U41" i="47"/>
  <c r="U37" i="47"/>
  <c r="U33" i="47"/>
  <c r="U29" i="47"/>
  <c r="U25" i="47"/>
  <c r="U5" i="47"/>
  <c r="U9" i="47"/>
  <c r="U13" i="47"/>
  <c r="U17" i="47"/>
  <c r="U21" i="47"/>
  <c r="S24" i="47"/>
  <c r="S27" i="47"/>
  <c r="S31" i="47"/>
  <c r="S35" i="47"/>
  <c r="R27" i="47"/>
  <c r="R31" i="47"/>
  <c r="R35" i="47"/>
  <c r="R47" i="47"/>
  <c r="R44" i="47"/>
  <c r="V41" i="47"/>
  <c r="V39" i="47"/>
  <c r="V37" i="47"/>
  <c r="U68" i="47"/>
  <c r="U64" i="47"/>
  <c r="U60" i="47"/>
  <c r="U56" i="47"/>
  <c r="U52" i="47"/>
  <c r="U48" i="47"/>
  <c r="U44" i="47"/>
  <c r="U40" i="47"/>
  <c r="U36" i="47"/>
  <c r="U32" i="47"/>
  <c r="U28" i="47"/>
  <c r="U24" i="47"/>
  <c r="U6" i="47"/>
  <c r="U10" i="47"/>
  <c r="U14" i="47"/>
  <c r="U18" i="47"/>
  <c r="V22" i="47"/>
  <c r="X24" i="47"/>
  <c r="R28" i="47"/>
  <c r="R32" i="47"/>
  <c r="W34" i="47"/>
  <c r="W28" i="47"/>
  <c r="W32" i="47"/>
  <c r="R46" i="47"/>
  <c r="V43" i="47"/>
  <c r="R41" i="47"/>
  <c r="R39" i="47"/>
  <c r="R37" i="47"/>
  <c r="U67" i="47"/>
  <c r="U63" i="47"/>
  <c r="U59" i="47"/>
  <c r="U55" i="47"/>
  <c r="U51" i="47"/>
  <c r="U47" i="47"/>
  <c r="U43" i="47"/>
  <c r="U39" i="47"/>
  <c r="U35" i="47"/>
  <c r="U31" i="47"/>
  <c r="U27" i="47"/>
  <c r="U23" i="47"/>
  <c r="U7" i="47"/>
  <c r="U11" i="47"/>
  <c r="U15" i="47"/>
  <c r="U19" i="47"/>
  <c r="R23" i="47"/>
  <c r="T25" i="47"/>
  <c r="W29" i="47"/>
  <c r="W33" i="47"/>
  <c r="V35" i="47"/>
  <c r="V29" i="47"/>
  <c r="V33" i="47"/>
  <c r="V30" i="47"/>
  <c r="S30" i="47"/>
  <c r="M4" i="47"/>
  <c r="W4" i="47"/>
  <c r="D6" i="47"/>
  <c r="X5" i="47"/>
  <c r="D7" i="47"/>
  <c r="D54" i="47"/>
  <c r="D53" i="47"/>
  <c r="D44" i="47"/>
  <c r="D61" i="47"/>
  <c r="D66" i="47"/>
  <c r="D12" i="47"/>
  <c r="D55" i="47"/>
  <c r="D18" i="47"/>
  <c r="D15" i="47"/>
  <c r="D17" i="47"/>
  <c r="D13" i="47"/>
  <c r="D20" i="47"/>
  <c r="D42" i="47"/>
  <c r="C5" i="47"/>
  <c r="I4" i="47"/>
  <c r="K4" i="47"/>
  <c r="D14" i="47"/>
  <c r="D46" i="47"/>
  <c r="D28" i="47"/>
  <c r="D26" i="47"/>
  <c r="D25" i="47"/>
  <c r="D24" i="47"/>
  <c r="D19" i="47"/>
  <c r="X7" i="47"/>
  <c r="X4" i="47"/>
  <c r="L4" i="47"/>
  <c r="Q68" i="54"/>
  <c r="Q67" i="54"/>
  <c r="Q66" i="54"/>
  <c r="Q65" i="54"/>
  <c r="Q64" i="54"/>
  <c r="Q63" i="54"/>
  <c r="Q62" i="54"/>
  <c r="Q61" i="54"/>
  <c r="Q60" i="54"/>
  <c r="Q59" i="54"/>
  <c r="Q58" i="54"/>
  <c r="Q57" i="54"/>
  <c r="Q56" i="54"/>
  <c r="Q55" i="54"/>
  <c r="Q54" i="54"/>
  <c r="Q53" i="54"/>
  <c r="Q52" i="54"/>
  <c r="Q51" i="54"/>
  <c r="Q50" i="54"/>
  <c r="Q49" i="54"/>
  <c r="Q48" i="54"/>
  <c r="Q47" i="54"/>
  <c r="Q46" i="54"/>
  <c r="Q45" i="54"/>
  <c r="Q44" i="54"/>
  <c r="Q43" i="54"/>
  <c r="Q42" i="54"/>
  <c r="Q41" i="54"/>
  <c r="Q40" i="54"/>
  <c r="Q39" i="54"/>
  <c r="Q38" i="54"/>
  <c r="Q37" i="54"/>
  <c r="Q36" i="54"/>
  <c r="Q35" i="54"/>
  <c r="Q34" i="54"/>
  <c r="Q33" i="54"/>
  <c r="Q32" i="54"/>
  <c r="Q31" i="54"/>
  <c r="Q30" i="54"/>
  <c r="Q29" i="54"/>
  <c r="Q28" i="54"/>
  <c r="Q27" i="54"/>
  <c r="Q26" i="54"/>
  <c r="Q25" i="54"/>
  <c r="Q24" i="54"/>
  <c r="Q23" i="54"/>
  <c r="Q22" i="54"/>
  <c r="Q21" i="54"/>
  <c r="Q20" i="54"/>
  <c r="Q18" i="54"/>
  <c r="Q17" i="54"/>
  <c r="Q16" i="54"/>
  <c r="Q15" i="54"/>
  <c r="Q14" i="54"/>
  <c r="Q13" i="54"/>
  <c r="Q12" i="54"/>
  <c r="Q11" i="54"/>
  <c r="Q10" i="54"/>
  <c r="Q9" i="54"/>
  <c r="Q8" i="54"/>
  <c r="Q7" i="54"/>
  <c r="Q5" i="54"/>
  <c r="M68" i="54"/>
  <c r="E68" i="54"/>
  <c r="D68" i="54"/>
  <c r="C68" i="54"/>
  <c r="B68" i="54"/>
  <c r="A68" i="54"/>
  <c r="M67" i="54"/>
  <c r="E67" i="54"/>
  <c r="D67" i="54"/>
  <c r="C67" i="54"/>
  <c r="B67" i="54"/>
  <c r="A67" i="54"/>
  <c r="M66" i="54"/>
  <c r="E66" i="54"/>
  <c r="C66" i="54"/>
  <c r="B66" i="54"/>
  <c r="A66" i="54"/>
  <c r="M65" i="54"/>
  <c r="E65" i="54"/>
  <c r="D65" i="54"/>
  <c r="C65" i="54"/>
  <c r="B65" i="54"/>
  <c r="A65" i="54"/>
  <c r="M64" i="54"/>
  <c r="E64" i="54"/>
  <c r="D64" i="54"/>
  <c r="C64" i="54"/>
  <c r="B64" i="54"/>
  <c r="A64" i="54"/>
  <c r="M63" i="54"/>
  <c r="E63" i="54"/>
  <c r="D63" i="54"/>
  <c r="A63" i="54"/>
  <c r="M62" i="54"/>
  <c r="E62" i="54"/>
  <c r="D62" i="54"/>
  <c r="C62" i="54"/>
  <c r="M61" i="54"/>
  <c r="E61" i="54"/>
  <c r="C61" i="54"/>
  <c r="B61" i="54"/>
  <c r="A61" i="54"/>
  <c r="M60" i="54"/>
  <c r="E60" i="54"/>
  <c r="D60" i="54"/>
  <c r="C60" i="54"/>
  <c r="B60" i="54"/>
  <c r="A60" i="54"/>
  <c r="M59" i="54"/>
  <c r="E59" i="54"/>
  <c r="D59" i="54"/>
  <c r="C59" i="54"/>
  <c r="B59" i="54"/>
  <c r="A59" i="54"/>
  <c r="M58" i="54"/>
  <c r="E58" i="54"/>
  <c r="D58" i="54"/>
  <c r="C58" i="54"/>
  <c r="B58" i="54"/>
  <c r="A58" i="54"/>
  <c r="M57" i="54"/>
  <c r="E57" i="54"/>
  <c r="D57" i="54"/>
  <c r="A57" i="54"/>
  <c r="M56" i="54"/>
  <c r="E56" i="54"/>
  <c r="D56" i="54"/>
  <c r="C56" i="54"/>
  <c r="M55" i="54"/>
  <c r="E55" i="54"/>
  <c r="C55" i="54"/>
  <c r="B55" i="54"/>
  <c r="A55" i="54"/>
  <c r="M54" i="54"/>
  <c r="E54" i="54"/>
  <c r="C54" i="54"/>
  <c r="B54" i="54"/>
  <c r="A54" i="54"/>
  <c r="M53" i="54"/>
  <c r="E53" i="54"/>
  <c r="C53" i="54"/>
  <c r="B53" i="54"/>
  <c r="A53" i="54"/>
  <c r="M52" i="54"/>
  <c r="E52" i="54"/>
  <c r="D52" i="54"/>
  <c r="B52" i="54"/>
  <c r="A52" i="54"/>
  <c r="M51" i="54"/>
  <c r="E51" i="54"/>
  <c r="D51" i="54"/>
  <c r="M50" i="54"/>
  <c r="E50" i="54"/>
  <c r="D50" i="54"/>
  <c r="M49" i="54"/>
  <c r="E49" i="54"/>
  <c r="D49" i="54"/>
  <c r="C49" i="54"/>
  <c r="B49" i="54"/>
  <c r="A49" i="54"/>
  <c r="M48" i="54"/>
  <c r="E48" i="54"/>
  <c r="D48" i="54"/>
  <c r="C48" i="54"/>
  <c r="B48" i="54"/>
  <c r="A48" i="54"/>
  <c r="M47" i="54"/>
  <c r="E47" i="54"/>
  <c r="D47" i="54"/>
  <c r="C47" i="54"/>
  <c r="B47" i="54"/>
  <c r="A47" i="54"/>
  <c r="M46" i="54"/>
  <c r="E46" i="54"/>
  <c r="C46" i="54"/>
  <c r="B46" i="54"/>
  <c r="A46" i="54"/>
  <c r="M45" i="54"/>
  <c r="E45" i="54"/>
  <c r="D45" i="54"/>
  <c r="C45" i="54"/>
  <c r="B45" i="54"/>
  <c r="A45" i="54"/>
  <c r="M44" i="54"/>
  <c r="E44" i="54"/>
  <c r="C44" i="54"/>
  <c r="B44" i="54"/>
  <c r="A44" i="54"/>
  <c r="M43" i="54"/>
  <c r="E43" i="54"/>
  <c r="C43" i="54"/>
  <c r="B43" i="54"/>
  <c r="A43" i="54"/>
  <c r="M42" i="54"/>
  <c r="E42" i="54"/>
  <c r="C42" i="54"/>
  <c r="B42" i="54"/>
  <c r="A42" i="54"/>
  <c r="M41" i="54"/>
  <c r="E41" i="54"/>
  <c r="D41" i="54"/>
  <c r="B41" i="54"/>
  <c r="A41" i="54"/>
  <c r="M40" i="54"/>
  <c r="E40" i="54"/>
  <c r="D40" i="54"/>
  <c r="M39" i="54"/>
  <c r="E39" i="54"/>
  <c r="D39" i="54"/>
  <c r="C39" i="54"/>
  <c r="B39" i="54"/>
  <c r="A39" i="54"/>
  <c r="M38" i="54"/>
  <c r="E38" i="54"/>
  <c r="D38" i="54"/>
  <c r="C38" i="54"/>
  <c r="B38" i="54"/>
  <c r="A38" i="54"/>
  <c r="M37" i="54"/>
  <c r="E37" i="54"/>
  <c r="D37" i="54"/>
  <c r="C37" i="54"/>
  <c r="B37" i="54"/>
  <c r="A37" i="54"/>
  <c r="M36" i="54"/>
  <c r="E36" i="54"/>
  <c r="D36" i="54"/>
  <c r="C36" i="54"/>
  <c r="B36" i="54"/>
  <c r="A36" i="54"/>
  <c r="M35" i="54"/>
  <c r="E35" i="54"/>
  <c r="D35" i="54"/>
  <c r="C35" i="54"/>
  <c r="B35" i="54"/>
  <c r="A35" i="54"/>
  <c r="M34" i="54"/>
  <c r="E34" i="54"/>
  <c r="D34" i="54"/>
  <c r="C34" i="54"/>
  <c r="B34" i="54"/>
  <c r="A34" i="54"/>
  <c r="M33" i="54"/>
  <c r="E33" i="54"/>
  <c r="D33" i="54"/>
  <c r="C33" i="54"/>
  <c r="B33" i="54"/>
  <c r="A33" i="54"/>
  <c r="M32" i="54"/>
  <c r="E32" i="54"/>
  <c r="D32" i="54"/>
  <c r="M31" i="54"/>
  <c r="E31" i="54"/>
  <c r="D31" i="54"/>
  <c r="C31" i="54"/>
  <c r="B31" i="54"/>
  <c r="A31" i="54"/>
  <c r="M30" i="54"/>
  <c r="E30" i="54"/>
  <c r="D30" i="54"/>
  <c r="C30" i="54"/>
  <c r="B30" i="54"/>
  <c r="A30" i="54"/>
  <c r="M29" i="54"/>
  <c r="E29" i="54"/>
  <c r="D29" i="54"/>
  <c r="C29" i="54"/>
  <c r="B29" i="54"/>
  <c r="A29" i="54"/>
  <c r="M28" i="54"/>
  <c r="E28" i="54"/>
  <c r="C28" i="54"/>
  <c r="B28" i="54"/>
  <c r="A28" i="54"/>
  <c r="M27" i="54"/>
  <c r="E27" i="54"/>
  <c r="C27" i="54"/>
  <c r="B27" i="54"/>
  <c r="A27" i="54"/>
  <c r="M26" i="54"/>
  <c r="E26" i="54"/>
  <c r="C26" i="54"/>
  <c r="B26" i="54"/>
  <c r="A26" i="54"/>
  <c r="M25" i="54"/>
  <c r="E25" i="54"/>
  <c r="C25" i="54"/>
  <c r="B25" i="54"/>
  <c r="A25" i="54"/>
  <c r="M24" i="54"/>
  <c r="E24" i="54"/>
  <c r="C24" i="54"/>
  <c r="B24" i="54"/>
  <c r="A24" i="54"/>
  <c r="M23" i="54"/>
  <c r="M22" i="54"/>
  <c r="E22" i="54"/>
  <c r="D22" i="54"/>
  <c r="C22" i="54"/>
  <c r="B22" i="54"/>
  <c r="A22" i="54"/>
  <c r="M21" i="54"/>
  <c r="E21" i="54"/>
  <c r="D21" i="54"/>
  <c r="C21" i="54"/>
  <c r="B21" i="54"/>
  <c r="A21" i="54"/>
  <c r="M20" i="54"/>
  <c r="E20" i="54"/>
  <c r="C20" i="54"/>
  <c r="B20" i="54"/>
  <c r="A20" i="54"/>
  <c r="B19" i="54"/>
  <c r="A19" i="54"/>
  <c r="M18" i="54"/>
  <c r="E18" i="54"/>
  <c r="C18" i="54"/>
  <c r="B18" i="54"/>
  <c r="A18" i="54"/>
  <c r="E17" i="54"/>
  <c r="C17" i="54"/>
  <c r="B17" i="54"/>
  <c r="A17" i="54"/>
  <c r="M16" i="54"/>
  <c r="D16" i="54"/>
  <c r="M15" i="54"/>
  <c r="E15" i="54"/>
  <c r="C15" i="54"/>
  <c r="B15" i="54"/>
  <c r="A15" i="54"/>
  <c r="M14" i="54"/>
  <c r="E14" i="54"/>
  <c r="C14" i="54"/>
  <c r="B14" i="54"/>
  <c r="A14" i="54"/>
  <c r="M13" i="54"/>
  <c r="E13" i="54"/>
  <c r="C13" i="54"/>
  <c r="B13" i="54"/>
  <c r="A13" i="54"/>
  <c r="M12" i="54"/>
  <c r="E12" i="54"/>
  <c r="C12" i="54"/>
  <c r="B12" i="54"/>
  <c r="A12" i="54"/>
  <c r="M11" i="54"/>
  <c r="D11" i="54"/>
  <c r="B11" i="54"/>
  <c r="A11" i="54"/>
  <c r="M10" i="54"/>
  <c r="D10" i="54"/>
  <c r="M9" i="54"/>
  <c r="E9" i="54"/>
  <c r="C9" i="54"/>
  <c r="B9" i="54"/>
  <c r="A9" i="54"/>
  <c r="M8" i="54"/>
  <c r="E8" i="54"/>
  <c r="C8" i="54"/>
  <c r="B8" i="54"/>
  <c r="A8" i="54"/>
  <c r="M7" i="54"/>
  <c r="E7" i="54"/>
  <c r="C7" i="54"/>
  <c r="B7" i="54"/>
  <c r="A7" i="54"/>
  <c r="C4" i="54"/>
  <c r="B6" i="54"/>
  <c r="A6" i="54"/>
  <c r="M5" i="54"/>
  <c r="B5" i="54"/>
  <c r="A5" i="54"/>
  <c r="B2" i="54"/>
  <c r="D43" i="54"/>
  <c r="Q6" i="54"/>
  <c r="M17" i="54"/>
  <c r="M19" i="54"/>
  <c r="Q19" i="54"/>
  <c r="X8" i="54"/>
  <c r="V34" i="54"/>
  <c r="X10" i="54"/>
  <c r="X12" i="54"/>
  <c r="X18" i="54"/>
  <c r="X20" i="54"/>
  <c r="V29" i="54"/>
  <c r="V33" i="54"/>
  <c r="T63" i="54"/>
  <c r="T61" i="54"/>
  <c r="T55" i="54"/>
  <c r="T53" i="54"/>
  <c r="T49" i="54"/>
  <c r="T47" i="54"/>
  <c r="T45" i="54"/>
  <c r="T41" i="54"/>
  <c r="T39" i="54"/>
  <c r="T37" i="54"/>
  <c r="T33" i="54"/>
  <c r="T31" i="54"/>
  <c r="T29" i="54"/>
  <c r="W67" i="54"/>
  <c r="W65" i="54"/>
  <c r="W63" i="54"/>
  <c r="W59" i="54"/>
  <c r="W57" i="54"/>
  <c r="W55" i="54"/>
  <c r="W51" i="54"/>
  <c r="W49" i="54"/>
  <c r="W47" i="54"/>
  <c r="W43" i="54"/>
  <c r="W41" i="54"/>
  <c r="W39" i="54"/>
  <c r="W35" i="54"/>
  <c r="V68" i="54"/>
  <c r="V66" i="54"/>
  <c r="V62" i="54"/>
  <c r="V60" i="54"/>
  <c r="V58" i="54"/>
  <c r="V54" i="54"/>
  <c r="V52" i="54"/>
  <c r="V50" i="54"/>
  <c r="V46" i="54"/>
  <c r="V44" i="54"/>
  <c r="V42" i="54"/>
  <c r="V38" i="54"/>
  <c r="V36" i="54"/>
  <c r="U67" i="54"/>
  <c r="U59" i="54"/>
  <c r="U55" i="54"/>
  <c r="U51" i="54"/>
  <c r="U43" i="54"/>
  <c r="U39" i="54"/>
  <c r="U35" i="54"/>
  <c r="U27" i="54"/>
  <c r="U23" i="54"/>
  <c r="U7" i="54"/>
  <c r="U15" i="54"/>
  <c r="U19" i="54"/>
  <c r="T5" i="54"/>
  <c r="T9" i="54"/>
  <c r="T11" i="54"/>
  <c r="T13" i="54"/>
  <c r="T17" i="54"/>
  <c r="T19" i="54"/>
  <c r="T21" i="54"/>
  <c r="T26" i="54"/>
  <c r="S30" i="54"/>
  <c r="X68" i="54"/>
  <c r="X64" i="54"/>
  <c r="X62" i="54"/>
  <c r="X60" i="54"/>
  <c r="X56" i="54"/>
  <c r="X54" i="54"/>
  <c r="X52" i="54"/>
  <c r="X48" i="54"/>
  <c r="X46" i="54"/>
  <c r="X44" i="54"/>
  <c r="X40" i="54"/>
  <c r="X38" i="54"/>
  <c r="X36" i="54"/>
  <c r="X32" i="54"/>
  <c r="X30" i="54"/>
  <c r="X28" i="54"/>
  <c r="S67" i="54"/>
  <c r="S65" i="54"/>
  <c r="S63" i="54"/>
  <c r="S59" i="54"/>
  <c r="S57" i="54"/>
  <c r="S55" i="54"/>
  <c r="S53" i="54"/>
  <c r="S51" i="54"/>
  <c r="S49" i="54"/>
  <c r="S47" i="54"/>
  <c r="S45" i="54"/>
  <c r="S43" i="54"/>
  <c r="S41" i="54"/>
  <c r="S39" i="54"/>
  <c r="S37" i="54"/>
  <c r="S35" i="54"/>
  <c r="R68" i="54"/>
  <c r="R66" i="54"/>
  <c r="R64" i="54"/>
  <c r="R62" i="54"/>
  <c r="R60" i="54"/>
  <c r="R58" i="54"/>
  <c r="R56" i="54"/>
  <c r="R54" i="54"/>
  <c r="R52" i="54"/>
  <c r="R50" i="54"/>
  <c r="R48" i="54"/>
  <c r="R46" i="54"/>
  <c r="R44" i="54"/>
  <c r="R42" i="54"/>
  <c r="R40" i="54"/>
  <c r="R38" i="54"/>
  <c r="R36" i="54"/>
  <c r="U66" i="54"/>
  <c r="U62" i="54"/>
  <c r="U58" i="54"/>
  <c r="U54" i="54"/>
  <c r="U50" i="54"/>
  <c r="U46" i="54"/>
  <c r="U42" i="54"/>
  <c r="U38" i="54"/>
  <c r="U34" i="54"/>
  <c r="U30" i="54"/>
  <c r="U26" i="54"/>
  <c r="U22" i="54"/>
  <c r="U8" i="54"/>
  <c r="U12" i="54"/>
  <c r="U16" i="54"/>
  <c r="U20" i="54"/>
  <c r="W23" i="54"/>
  <c r="T6" i="54"/>
  <c r="T8" i="54"/>
  <c r="T10" i="54"/>
  <c r="T12" i="54"/>
  <c r="T14" i="54"/>
  <c r="T16" i="54"/>
  <c r="T18" i="54"/>
  <c r="T20" i="54"/>
  <c r="T22" i="54"/>
  <c r="S25" i="54"/>
  <c r="W28" i="54"/>
  <c r="W32" i="54"/>
  <c r="X67" i="54"/>
  <c r="X65" i="54"/>
  <c r="X63" i="54"/>
  <c r="X61" i="54"/>
  <c r="X59" i="54"/>
  <c r="X57" i="54"/>
  <c r="X55" i="54"/>
  <c r="X53" i="54"/>
  <c r="X51" i="54"/>
  <c r="X49" i="54"/>
  <c r="X47" i="54"/>
  <c r="X45" i="54"/>
  <c r="X43" i="54"/>
  <c r="X41" i="54"/>
  <c r="X39" i="54"/>
  <c r="X37" i="54"/>
  <c r="X35" i="54"/>
  <c r="X33" i="54"/>
  <c r="X31" i="54"/>
  <c r="X29" i="54"/>
  <c r="X27" i="54"/>
  <c r="S68" i="54"/>
  <c r="S66" i="54"/>
  <c r="S64" i="54"/>
  <c r="S62" i="54"/>
  <c r="S60" i="54"/>
  <c r="S58" i="54"/>
  <c r="X13" i="54"/>
  <c r="X21" i="54"/>
  <c r="T68" i="54"/>
  <c r="T60" i="54"/>
  <c r="T52" i="54"/>
  <c r="T44" i="54"/>
  <c r="T36" i="54"/>
  <c r="T28" i="54"/>
  <c r="W62" i="54"/>
  <c r="S56" i="54"/>
  <c r="S52" i="54"/>
  <c r="S48" i="54"/>
  <c r="S44" i="54"/>
  <c r="S40" i="54"/>
  <c r="S36" i="54"/>
  <c r="R67" i="54"/>
  <c r="R63" i="54"/>
  <c r="R59" i="54"/>
  <c r="R55" i="54"/>
  <c r="R51" i="54"/>
  <c r="R47" i="54"/>
  <c r="R43" i="54"/>
  <c r="R39" i="54"/>
  <c r="U68" i="54"/>
  <c r="U60" i="54"/>
  <c r="U52" i="54"/>
  <c r="U44" i="54"/>
  <c r="U36" i="54"/>
  <c r="U28" i="54"/>
  <c r="U6" i="54"/>
  <c r="U14" i="54"/>
  <c r="V22" i="54"/>
  <c r="T25" i="54"/>
  <c r="W29" i="54"/>
  <c r="W33" i="54"/>
  <c r="V6" i="54"/>
  <c r="V8" i="54"/>
  <c r="V10" i="54"/>
  <c r="V12" i="54"/>
  <c r="V14" i="54"/>
  <c r="V16" i="54"/>
  <c r="V18" i="54"/>
  <c r="V20" i="54"/>
  <c r="W22" i="54"/>
  <c r="V25" i="54"/>
  <c r="S28" i="54"/>
  <c r="S32" i="54"/>
  <c r="W5" i="54"/>
  <c r="W9" i="54"/>
  <c r="W11" i="54"/>
  <c r="W13" i="54"/>
  <c r="W15" i="54"/>
  <c r="W17" i="54"/>
  <c r="W21" i="54"/>
  <c r="V24" i="54"/>
  <c r="W31" i="54"/>
  <c r="X7" i="54"/>
  <c r="X15" i="54"/>
  <c r="W24" i="54"/>
  <c r="T66" i="54"/>
  <c r="T58" i="54"/>
  <c r="T50" i="54"/>
  <c r="T42" i="54"/>
  <c r="T34" i="54"/>
  <c r="W68" i="54"/>
  <c r="W60" i="54"/>
  <c r="W54" i="54"/>
  <c r="W50" i="54"/>
  <c r="W46" i="54"/>
  <c r="W42" i="54"/>
  <c r="W38" i="54"/>
  <c r="W34" i="54"/>
  <c r="V65" i="54"/>
  <c r="V61" i="54"/>
  <c r="V57" i="54"/>
  <c r="V53" i="54"/>
  <c r="V49" i="54"/>
  <c r="V45" i="54"/>
  <c r="V41" i="54"/>
  <c r="V37" i="54"/>
  <c r="U65" i="54"/>
  <c r="U57" i="54"/>
  <c r="U49" i="54"/>
  <c r="U41" i="54"/>
  <c r="U33" i="54"/>
  <c r="U25" i="54"/>
  <c r="U9" i="54"/>
  <c r="U17" i="54"/>
  <c r="R23" i="54"/>
  <c r="V26" i="54"/>
  <c r="V30" i="54"/>
  <c r="R5" i="54"/>
  <c r="R7" i="54"/>
  <c r="R9" i="54"/>
  <c r="R11" i="54"/>
  <c r="R13" i="54"/>
  <c r="R15" i="54"/>
  <c r="R17" i="54"/>
  <c r="R19" i="54"/>
  <c r="R21" i="54"/>
  <c r="S23" i="54"/>
  <c r="R26" i="54"/>
  <c r="R29" i="54"/>
  <c r="R33" i="54"/>
  <c r="S6" i="54"/>
  <c r="S8" i="54"/>
  <c r="S10" i="54"/>
  <c r="S12" i="54"/>
  <c r="S14" i="54"/>
  <c r="S16" i="54"/>
  <c r="S18" i="54"/>
  <c r="S20" i="54"/>
  <c r="S22" i="54"/>
  <c r="R25" i="54"/>
  <c r="V28" i="54"/>
  <c r="V32" i="54"/>
  <c r="X9" i="54"/>
  <c r="X17" i="54"/>
  <c r="R27" i="54"/>
  <c r="T64" i="54"/>
  <c r="T56" i="54"/>
  <c r="T48" i="54"/>
  <c r="T40" i="54"/>
  <c r="T32" i="54"/>
  <c r="W66" i="54"/>
  <c r="W58" i="54"/>
  <c r="S54" i="54"/>
  <c r="S50" i="54"/>
  <c r="S46" i="54"/>
  <c r="S42" i="54"/>
  <c r="S38" i="54"/>
  <c r="S34" i="54"/>
  <c r="R65" i="54"/>
  <c r="R61" i="54"/>
  <c r="R57" i="54"/>
  <c r="R53" i="54"/>
  <c r="R49" i="54"/>
  <c r="R45" i="54"/>
  <c r="R41" i="54"/>
  <c r="R37" i="54"/>
  <c r="U64" i="54"/>
  <c r="U56" i="54"/>
  <c r="U48" i="54"/>
  <c r="U40" i="54"/>
  <c r="U32" i="54"/>
  <c r="U24" i="54"/>
  <c r="U10" i="54"/>
  <c r="U18" i="54"/>
  <c r="S24" i="54"/>
  <c r="S27" i="54"/>
  <c r="S31" i="54"/>
  <c r="V5" i="54"/>
  <c r="V7" i="54"/>
  <c r="V9" i="54"/>
  <c r="V11" i="54"/>
  <c r="V13" i="54"/>
  <c r="V15" i="54"/>
  <c r="V17" i="54"/>
  <c r="V19" i="54"/>
  <c r="V21" i="54"/>
  <c r="X23" i="54"/>
  <c r="W26" i="54"/>
  <c r="W30" i="54"/>
  <c r="R35" i="54"/>
  <c r="W6" i="54"/>
  <c r="W8" i="54"/>
  <c r="W10" i="54"/>
  <c r="W12" i="54"/>
  <c r="W14" i="54"/>
  <c r="W16" i="54"/>
  <c r="W18" i="54"/>
  <c r="W20" i="54"/>
  <c r="X22" i="54"/>
  <c r="W25" i="54"/>
  <c r="S29" i="54"/>
  <c r="S33" i="54"/>
  <c r="X11" i="54"/>
  <c r="X19" i="54"/>
  <c r="R31" i="54"/>
  <c r="T62" i="54"/>
  <c r="T54" i="54"/>
  <c r="T46" i="54"/>
  <c r="T38" i="54"/>
  <c r="T30" i="54"/>
  <c r="W64" i="54"/>
  <c r="W56" i="54"/>
  <c r="W52" i="54"/>
  <c r="W48" i="54"/>
  <c r="W44" i="54"/>
  <c r="W40" i="54"/>
  <c r="W36" i="54"/>
  <c r="V67" i="54"/>
  <c r="V63" i="54"/>
  <c r="V59" i="54"/>
  <c r="V55" i="54"/>
  <c r="V51" i="54"/>
  <c r="V47" i="54"/>
  <c r="V43" i="54"/>
  <c r="V39" i="54"/>
  <c r="V35" i="54"/>
  <c r="U61" i="54"/>
  <c r="U53" i="54"/>
  <c r="U45" i="54"/>
  <c r="U37" i="54"/>
  <c r="U29" i="54"/>
  <c r="U5" i="54"/>
  <c r="U13" i="54"/>
  <c r="U21" i="54"/>
  <c r="X24" i="54"/>
  <c r="R28" i="54"/>
  <c r="R32" i="54"/>
  <c r="R6" i="54"/>
  <c r="R8" i="54"/>
  <c r="R10" i="54"/>
  <c r="R12" i="54"/>
  <c r="R14" i="54"/>
  <c r="R16" i="54"/>
  <c r="R18" i="54"/>
  <c r="R20" i="54"/>
  <c r="R22" i="54"/>
  <c r="T24" i="54"/>
  <c r="V27" i="54"/>
  <c r="V31" i="54"/>
  <c r="S5" i="54"/>
  <c r="S7" i="54"/>
  <c r="S9" i="54"/>
  <c r="S11" i="54"/>
  <c r="S13" i="54"/>
  <c r="S15" i="54"/>
  <c r="S17" i="54"/>
  <c r="S19" i="54"/>
  <c r="S21" i="54"/>
  <c r="T23" i="54"/>
  <c r="S26" i="54"/>
  <c r="R30" i="54"/>
  <c r="R34" i="54"/>
  <c r="W7" i="54"/>
  <c r="W19" i="54"/>
  <c r="W27" i="54"/>
  <c r="M6" i="54"/>
  <c r="M4" i="54"/>
  <c r="S61" i="54"/>
  <c r="X26" i="54"/>
  <c r="X34" i="54"/>
  <c r="X42" i="54"/>
  <c r="X50" i="54"/>
  <c r="X58" i="54"/>
  <c r="X66" i="54"/>
  <c r="R24" i="54"/>
  <c r="T15" i="54"/>
  <c r="T7" i="54"/>
  <c r="U11" i="54"/>
  <c r="U31" i="54"/>
  <c r="U47" i="54"/>
  <c r="U63" i="54"/>
  <c r="V40" i="54"/>
  <c r="V48" i="54"/>
  <c r="V56" i="54"/>
  <c r="V64" i="54"/>
  <c r="W37" i="54"/>
  <c r="W45" i="54"/>
  <c r="W53" i="54"/>
  <c r="W61" i="54"/>
  <c r="T27" i="54"/>
  <c r="T35" i="54"/>
  <c r="T43" i="54"/>
  <c r="T51" i="54"/>
  <c r="T59" i="54"/>
  <c r="T67" i="54"/>
  <c r="V23" i="54"/>
  <c r="X14" i="54"/>
  <c r="W4" i="54"/>
  <c r="T57" i="54"/>
  <c r="T65" i="54"/>
  <c r="X25" i="54"/>
  <c r="X16" i="54"/>
  <c r="X5" i="54"/>
  <c r="D9" i="54"/>
  <c r="D8" i="54"/>
  <c r="D7" i="54"/>
  <c r="D54" i="54"/>
  <c r="D53" i="54"/>
  <c r="D44" i="54"/>
  <c r="D61" i="54"/>
  <c r="D66" i="54"/>
  <c r="D12" i="54"/>
  <c r="D55" i="54"/>
  <c r="D18" i="54"/>
  <c r="D15" i="54"/>
  <c r="D17" i="54"/>
  <c r="D13" i="54"/>
  <c r="D20" i="54"/>
  <c r="D42" i="54"/>
  <c r="C5" i="54"/>
  <c r="I4" i="54"/>
  <c r="K4" i="54"/>
  <c r="D14" i="54"/>
  <c r="D46" i="54"/>
  <c r="D28" i="54"/>
  <c r="D27" i="54"/>
  <c r="D26" i="54"/>
  <c r="D25" i="54"/>
  <c r="D24" i="54"/>
  <c r="X6" i="54"/>
  <c r="X4" i="54"/>
  <c r="L4" i="54"/>
  <c r="Q68" i="50"/>
  <c r="Q67" i="50"/>
  <c r="Q66" i="50"/>
  <c r="Q65" i="50"/>
  <c r="Q64" i="50"/>
  <c r="Q63" i="50"/>
  <c r="Q62" i="50"/>
  <c r="Q61" i="50"/>
  <c r="Q60" i="50"/>
  <c r="Q59" i="50"/>
  <c r="Q58" i="50"/>
  <c r="Q57" i="50"/>
  <c r="Q56" i="50"/>
  <c r="Q55" i="50"/>
  <c r="Q54" i="50"/>
  <c r="Q53" i="50"/>
  <c r="Q52" i="50"/>
  <c r="Q51" i="50"/>
  <c r="Q50" i="50"/>
  <c r="Q49" i="50"/>
  <c r="Q48" i="50"/>
  <c r="Q47" i="50"/>
  <c r="Q46" i="50"/>
  <c r="Q45" i="50"/>
  <c r="Q44" i="50"/>
  <c r="Q43" i="50"/>
  <c r="Q42" i="50"/>
  <c r="Q41" i="50"/>
  <c r="Q40" i="50"/>
  <c r="Q39" i="50"/>
  <c r="Q38" i="50"/>
  <c r="Q37" i="50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3" i="50"/>
  <c r="Q12" i="50"/>
  <c r="Q11" i="50"/>
  <c r="Q10" i="50"/>
  <c r="Q9" i="50"/>
  <c r="Q8" i="50"/>
  <c r="Q7" i="50"/>
  <c r="Q5" i="50"/>
  <c r="M68" i="50"/>
  <c r="E68" i="50"/>
  <c r="D68" i="50"/>
  <c r="C68" i="50"/>
  <c r="B68" i="50"/>
  <c r="A68" i="50"/>
  <c r="M67" i="50"/>
  <c r="E67" i="50"/>
  <c r="D67" i="50"/>
  <c r="C67" i="50"/>
  <c r="B67" i="50"/>
  <c r="A67" i="50"/>
  <c r="M66" i="50"/>
  <c r="E66" i="50"/>
  <c r="C66" i="50"/>
  <c r="B66" i="50"/>
  <c r="A66" i="50"/>
  <c r="M65" i="50"/>
  <c r="E65" i="50"/>
  <c r="D65" i="50"/>
  <c r="C65" i="50"/>
  <c r="B65" i="50"/>
  <c r="A65" i="50"/>
  <c r="M64" i="50"/>
  <c r="E64" i="50"/>
  <c r="D64" i="50"/>
  <c r="C64" i="50"/>
  <c r="B64" i="50"/>
  <c r="A64" i="50"/>
  <c r="M63" i="50"/>
  <c r="E63" i="50"/>
  <c r="D63" i="50"/>
  <c r="A63" i="50"/>
  <c r="M62" i="50"/>
  <c r="E62" i="50"/>
  <c r="D62" i="50"/>
  <c r="C62" i="50"/>
  <c r="M61" i="50"/>
  <c r="E61" i="50"/>
  <c r="C61" i="50"/>
  <c r="B61" i="50"/>
  <c r="A61" i="50"/>
  <c r="M60" i="50"/>
  <c r="E60" i="50"/>
  <c r="D60" i="50"/>
  <c r="C60" i="50"/>
  <c r="B60" i="50"/>
  <c r="A60" i="50"/>
  <c r="M59" i="50"/>
  <c r="E59" i="50"/>
  <c r="D59" i="50"/>
  <c r="C59" i="50"/>
  <c r="B59" i="50"/>
  <c r="A59" i="50"/>
  <c r="M58" i="50"/>
  <c r="E58" i="50"/>
  <c r="D58" i="50"/>
  <c r="C58" i="50"/>
  <c r="B58" i="50"/>
  <c r="A58" i="50"/>
  <c r="M57" i="50"/>
  <c r="E57" i="50"/>
  <c r="D57" i="50"/>
  <c r="A57" i="50"/>
  <c r="M56" i="50"/>
  <c r="E56" i="50"/>
  <c r="D56" i="50"/>
  <c r="C56" i="50"/>
  <c r="M55" i="50"/>
  <c r="E55" i="50"/>
  <c r="C55" i="50"/>
  <c r="B55" i="50"/>
  <c r="A55" i="50"/>
  <c r="M54" i="50"/>
  <c r="E54" i="50"/>
  <c r="C54" i="50"/>
  <c r="B54" i="50"/>
  <c r="A54" i="50"/>
  <c r="M53" i="50"/>
  <c r="E53" i="50"/>
  <c r="C53" i="50"/>
  <c r="B53" i="50"/>
  <c r="A53" i="50"/>
  <c r="M52" i="50"/>
  <c r="E52" i="50"/>
  <c r="D52" i="50"/>
  <c r="B52" i="50"/>
  <c r="A52" i="50"/>
  <c r="M51" i="50"/>
  <c r="E51" i="50"/>
  <c r="D51" i="50"/>
  <c r="M50" i="50"/>
  <c r="E50" i="50"/>
  <c r="D50" i="50"/>
  <c r="M49" i="50"/>
  <c r="E49" i="50"/>
  <c r="D49" i="50"/>
  <c r="C49" i="50"/>
  <c r="B49" i="50"/>
  <c r="A49" i="50"/>
  <c r="M48" i="50"/>
  <c r="E48" i="50"/>
  <c r="D48" i="50"/>
  <c r="C48" i="50"/>
  <c r="B48" i="50"/>
  <c r="A48" i="50"/>
  <c r="M47" i="50"/>
  <c r="E47" i="50"/>
  <c r="D47" i="50"/>
  <c r="C47" i="50"/>
  <c r="B47" i="50"/>
  <c r="A47" i="50"/>
  <c r="M46" i="50"/>
  <c r="E46" i="50"/>
  <c r="C46" i="50"/>
  <c r="B46" i="50"/>
  <c r="A46" i="50"/>
  <c r="M45" i="50"/>
  <c r="E45" i="50"/>
  <c r="D45" i="50"/>
  <c r="C45" i="50"/>
  <c r="B45" i="50"/>
  <c r="A45" i="50"/>
  <c r="M44" i="50"/>
  <c r="E44" i="50"/>
  <c r="C44" i="50"/>
  <c r="B44" i="50"/>
  <c r="A44" i="50"/>
  <c r="M43" i="50"/>
  <c r="E43" i="50"/>
  <c r="C43" i="50"/>
  <c r="B43" i="50"/>
  <c r="A43" i="50"/>
  <c r="M42" i="50"/>
  <c r="E42" i="50"/>
  <c r="C42" i="50"/>
  <c r="B42" i="50"/>
  <c r="A42" i="50"/>
  <c r="M41" i="50"/>
  <c r="E41" i="50"/>
  <c r="D41" i="50"/>
  <c r="B41" i="50"/>
  <c r="A41" i="50"/>
  <c r="M40" i="50"/>
  <c r="E40" i="50"/>
  <c r="D40" i="50"/>
  <c r="M39" i="50"/>
  <c r="E39" i="50"/>
  <c r="D39" i="50"/>
  <c r="C39" i="50"/>
  <c r="B39" i="50"/>
  <c r="A39" i="50"/>
  <c r="M38" i="50"/>
  <c r="E38" i="50"/>
  <c r="D38" i="50"/>
  <c r="C38" i="50"/>
  <c r="B38" i="50"/>
  <c r="A38" i="50"/>
  <c r="M37" i="50"/>
  <c r="E37" i="50"/>
  <c r="D37" i="50"/>
  <c r="C37" i="50"/>
  <c r="B37" i="50"/>
  <c r="A37" i="50"/>
  <c r="M36" i="50"/>
  <c r="E36" i="50"/>
  <c r="D36" i="50"/>
  <c r="C36" i="50"/>
  <c r="B36" i="50"/>
  <c r="A36" i="50"/>
  <c r="M35" i="50"/>
  <c r="E35" i="50"/>
  <c r="D35" i="50"/>
  <c r="C35" i="50"/>
  <c r="B35" i="50"/>
  <c r="A35" i="50"/>
  <c r="M34" i="50"/>
  <c r="E34" i="50"/>
  <c r="D34" i="50"/>
  <c r="C34" i="50"/>
  <c r="B34" i="50"/>
  <c r="A34" i="50"/>
  <c r="M33" i="50"/>
  <c r="E33" i="50"/>
  <c r="D33" i="50"/>
  <c r="C33" i="50"/>
  <c r="B33" i="50"/>
  <c r="A33" i="50"/>
  <c r="M32" i="50"/>
  <c r="E32" i="50"/>
  <c r="D32" i="50"/>
  <c r="M31" i="50"/>
  <c r="E31" i="50"/>
  <c r="D31" i="50"/>
  <c r="C31" i="50"/>
  <c r="B31" i="50"/>
  <c r="A31" i="50"/>
  <c r="M30" i="50"/>
  <c r="E30" i="50"/>
  <c r="D30" i="50"/>
  <c r="C30" i="50"/>
  <c r="B30" i="50"/>
  <c r="A30" i="50"/>
  <c r="M29" i="50"/>
  <c r="E29" i="50"/>
  <c r="D29" i="50"/>
  <c r="C29" i="50"/>
  <c r="B29" i="50"/>
  <c r="A29" i="50"/>
  <c r="M28" i="50"/>
  <c r="E28" i="50"/>
  <c r="C28" i="50"/>
  <c r="B28" i="50"/>
  <c r="A28" i="50"/>
  <c r="M27" i="50"/>
  <c r="E27" i="50"/>
  <c r="C27" i="50"/>
  <c r="B27" i="50"/>
  <c r="A27" i="50"/>
  <c r="M26" i="50"/>
  <c r="E26" i="50"/>
  <c r="C26" i="50"/>
  <c r="B26" i="50"/>
  <c r="A26" i="50"/>
  <c r="M25" i="50"/>
  <c r="E25" i="50"/>
  <c r="C25" i="50"/>
  <c r="B25" i="50"/>
  <c r="A25" i="50"/>
  <c r="M24" i="50"/>
  <c r="E24" i="50"/>
  <c r="C24" i="50"/>
  <c r="B24" i="50"/>
  <c r="A24" i="50"/>
  <c r="M23" i="50"/>
  <c r="M22" i="50"/>
  <c r="E22" i="50"/>
  <c r="D22" i="50"/>
  <c r="C22" i="50"/>
  <c r="B22" i="50"/>
  <c r="A22" i="50"/>
  <c r="M21" i="50"/>
  <c r="E21" i="50"/>
  <c r="D21" i="50"/>
  <c r="C21" i="50"/>
  <c r="B21" i="50"/>
  <c r="A21" i="50"/>
  <c r="M20" i="50"/>
  <c r="E20" i="50"/>
  <c r="C20" i="50"/>
  <c r="B20" i="50"/>
  <c r="A20" i="50"/>
  <c r="M19" i="50"/>
  <c r="E19" i="50"/>
  <c r="C19" i="50"/>
  <c r="B19" i="50"/>
  <c r="A19" i="50"/>
  <c r="M18" i="50"/>
  <c r="E18" i="50"/>
  <c r="C18" i="50"/>
  <c r="B18" i="50"/>
  <c r="A18" i="50"/>
  <c r="M17" i="50"/>
  <c r="E17" i="50"/>
  <c r="C17" i="50"/>
  <c r="B17" i="50"/>
  <c r="A17" i="50"/>
  <c r="M16" i="50"/>
  <c r="D16" i="50"/>
  <c r="M15" i="50"/>
  <c r="E15" i="50"/>
  <c r="C15" i="50"/>
  <c r="B15" i="50"/>
  <c r="A15" i="50"/>
  <c r="B14" i="50"/>
  <c r="A14" i="50"/>
  <c r="M13" i="50"/>
  <c r="E13" i="50"/>
  <c r="C13" i="50"/>
  <c r="B13" i="50"/>
  <c r="A13" i="50"/>
  <c r="M12" i="50"/>
  <c r="E12" i="50"/>
  <c r="C12" i="50"/>
  <c r="B12" i="50"/>
  <c r="A12" i="50"/>
  <c r="M11" i="50"/>
  <c r="D11" i="50"/>
  <c r="B11" i="50"/>
  <c r="A11" i="50"/>
  <c r="M10" i="50"/>
  <c r="D10" i="50"/>
  <c r="M9" i="50"/>
  <c r="E9" i="50"/>
  <c r="C9" i="50"/>
  <c r="B9" i="50"/>
  <c r="A9" i="50"/>
  <c r="M8" i="50"/>
  <c r="E8" i="50"/>
  <c r="C8" i="50"/>
  <c r="B8" i="50"/>
  <c r="A8" i="50"/>
  <c r="M7" i="50"/>
  <c r="E7" i="50"/>
  <c r="C7" i="50"/>
  <c r="B7" i="50"/>
  <c r="A7" i="50"/>
  <c r="B6" i="50"/>
  <c r="A6" i="50"/>
  <c r="M5" i="50"/>
  <c r="B5" i="50"/>
  <c r="A5" i="50"/>
  <c r="B2" i="50"/>
  <c r="D43" i="50"/>
  <c r="C4" i="50"/>
  <c r="M6" i="50"/>
  <c r="Q6" i="50"/>
  <c r="M14" i="50"/>
  <c r="Q14" i="50"/>
  <c r="T26" i="50"/>
  <c r="S6" i="50"/>
  <c r="S8" i="50"/>
  <c r="S10" i="50"/>
  <c r="S12" i="50"/>
  <c r="S14" i="50"/>
  <c r="S16" i="50"/>
  <c r="S18" i="50"/>
  <c r="S20" i="50"/>
  <c r="S22" i="50"/>
  <c r="S24" i="50"/>
  <c r="S26" i="50"/>
  <c r="U33" i="50"/>
  <c r="X8" i="50"/>
  <c r="X10" i="50"/>
  <c r="X12" i="50"/>
  <c r="X14" i="50"/>
  <c r="X16" i="50"/>
  <c r="X18" i="50"/>
  <c r="X20" i="50"/>
  <c r="X22" i="50"/>
  <c r="X24" i="50"/>
  <c r="T68" i="50"/>
  <c r="T66" i="50"/>
  <c r="T64" i="50"/>
  <c r="T62" i="50"/>
  <c r="T60" i="50"/>
  <c r="T58" i="50"/>
  <c r="T56" i="50"/>
  <c r="T54" i="50"/>
  <c r="T52" i="50"/>
  <c r="T50" i="50"/>
  <c r="T48" i="50"/>
  <c r="T46" i="50"/>
  <c r="T44" i="50"/>
  <c r="T42" i="50"/>
  <c r="T40" i="50"/>
  <c r="T38" i="50"/>
  <c r="T36" i="50"/>
  <c r="T34" i="50"/>
  <c r="T32" i="50"/>
  <c r="T30" i="50"/>
  <c r="T28" i="50"/>
  <c r="W68" i="50"/>
  <c r="W66" i="50"/>
  <c r="W64" i="50"/>
  <c r="W62" i="50"/>
  <c r="W60" i="50"/>
  <c r="W58" i="50"/>
  <c r="W56" i="50"/>
  <c r="W54" i="50"/>
  <c r="W52" i="50"/>
  <c r="W50" i="50"/>
  <c r="W48" i="50"/>
  <c r="W46" i="50"/>
  <c r="W44" i="50"/>
  <c r="W42" i="50"/>
  <c r="W40" i="50"/>
  <c r="W38" i="50"/>
  <c r="W36" i="50"/>
  <c r="W34" i="50"/>
  <c r="W32" i="50"/>
  <c r="W30" i="50"/>
  <c r="W28" i="50"/>
  <c r="W26" i="50"/>
  <c r="R67" i="50"/>
  <c r="R65" i="50"/>
  <c r="R63" i="50"/>
  <c r="R61" i="50"/>
  <c r="R59" i="50"/>
  <c r="R57" i="50"/>
  <c r="R55" i="50"/>
  <c r="R53" i="50"/>
  <c r="R51" i="50"/>
  <c r="R49" i="50"/>
  <c r="R47" i="50"/>
  <c r="R45" i="50"/>
  <c r="R43" i="50"/>
  <c r="R41" i="50"/>
  <c r="R39" i="50"/>
  <c r="R37" i="50"/>
  <c r="R35" i="50"/>
  <c r="R33" i="50"/>
  <c r="R31" i="50"/>
  <c r="W6" i="50"/>
  <c r="W8" i="50"/>
  <c r="W10" i="50"/>
  <c r="W12" i="50"/>
  <c r="W14" i="50"/>
  <c r="W16" i="50"/>
  <c r="W18" i="50"/>
  <c r="W20" i="50"/>
  <c r="W22" i="50"/>
  <c r="W24" i="50"/>
  <c r="U27" i="50"/>
  <c r="T5" i="50"/>
  <c r="T7" i="50"/>
  <c r="T9" i="50"/>
  <c r="T11" i="50"/>
  <c r="T13" i="50"/>
  <c r="T15" i="50"/>
  <c r="T17" i="50"/>
  <c r="T19" i="50"/>
  <c r="T21" i="50"/>
  <c r="T23" i="50"/>
  <c r="T25" i="50"/>
  <c r="X67" i="50"/>
  <c r="X65" i="50"/>
  <c r="X63" i="50"/>
  <c r="X61" i="50"/>
  <c r="X59" i="50"/>
  <c r="X57" i="50"/>
  <c r="X55" i="50"/>
  <c r="X53" i="50"/>
  <c r="X51" i="50"/>
  <c r="X49" i="50"/>
  <c r="X47" i="50"/>
  <c r="X45" i="50"/>
  <c r="X43" i="50"/>
  <c r="X41" i="50"/>
  <c r="X39" i="50"/>
  <c r="X37" i="50"/>
  <c r="X35" i="50"/>
  <c r="X33" i="50"/>
  <c r="X31" i="50"/>
  <c r="X29" i="50"/>
  <c r="X27" i="50"/>
  <c r="S68" i="50"/>
  <c r="S66" i="50"/>
  <c r="S64" i="50"/>
  <c r="S62" i="50"/>
  <c r="S60" i="50"/>
  <c r="S58" i="50"/>
  <c r="S56" i="50"/>
  <c r="S54" i="50"/>
  <c r="S52" i="50"/>
  <c r="S50" i="50"/>
  <c r="S48" i="50"/>
  <c r="S46" i="50"/>
  <c r="S44" i="50"/>
  <c r="S42" i="50"/>
  <c r="S40" i="50"/>
  <c r="S38" i="50"/>
  <c r="S36" i="50"/>
  <c r="S34" i="50"/>
  <c r="S32" i="50"/>
  <c r="S30" i="50"/>
  <c r="S28" i="50"/>
  <c r="V68" i="50"/>
  <c r="V66" i="50"/>
  <c r="V64" i="50"/>
  <c r="V62" i="50"/>
  <c r="V60" i="50"/>
  <c r="V58" i="50"/>
  <c r="V56" i="50"/>
  <c r="V54" i="50"/>
  <c r="V52" i="50"/>
  <c r="V50" i="50"/>
  <c r="V48" i="50"/>
  <c r="V46" i="50"/>
  <c r="V44" i="50"/>
  <c r="V42" i="50"/>
  <c r="V40" i="50"/>
  <c r="V38" i="50"/>
  <c r="V36" i="50"/>
  <c r="V34" i="50"/>
  <c r="S5" i="50"/>
  <c r="S7" i="50"/>
  <c r="S9" i="50"/>
  <c r="S11" i="50"/>
  <c r="S13" i="50"/>
  <c r="S15" i="50"/>
  <c r="S17" i="50"/>
  <c r="S19" i="50"/>
  <c r="S21" i="50"/>
  <c r="S23" i="50"/>
  <c r="S25" i="50"/>
  <c r="U29" i="50"/>
  <c r="X7" i="50"/>
  <c r="X9" i="50"/>
  <c r="X11" i="50"/>
  <c r="X13" i="50"/>
  <c r="X15" i="50"/>
  <c r="X17" i="50"/>
  <c r="X19" i="50"/>
  <c r="X21" i="50"/>
  <c r="X23" i="50"/>
  <c r="X25" i="50"/>
  <c r="T67" i="50"/>
  <c r="T65" i="50"/>
  <c r="T63" i="50"/>
  <c r="T61" i="50"/>
  <c r="T59" i="50"/>
  <c r="T57" i="50"/>
  <c r="T55" i="50"/>
  <c r="T53" i="50"/>
  <c r="T51" i="50"/>
  <c r="T49" i="50"/>
  <c r="T47" i="50"/>
  <c r="T45" i="50"/>
  <c r="T43" i="50"/>
  <c r="T41" i="50"/>
  <c r="T39" i="50"/>
  <c r="T37" i="50"/>
  <c r="T35" i="50"/>
  <c r="T33" i="50"/>
  <c r="T31" i="50"/>
  <c r="T29" i="50"/>
  <c r="T27" i="50"/>
  <c r="W67" i="50"/>
  <c r="W65" i="50"/>
  <c r="W63" i="50"/>
  <c r="W61" i="50"/>
  <c r="W59" i="50"/>
  <c r="W57" i="50"/>
  <c r="W55" i="50"/>
  <c r="W53" i="50"/>
  <c r="W51" i="50"/>
  <c r="W49" i="50"/>
  <c r="W47" i="50"/>
  <c r="W45" i="50"/>
  <c r="W43" i="50"/>
  <c r="W41" i="50"/>
  <c r="W39" i="50"/>
  <c r="W37" i="50"/>
  <c r="W35" i="50"/>
  <c r="W33" i="50"/>
  <c r="W31" i="50"/>
  <c r="W29" i="50"/>
  <c r="W27" i="50"/>
  <c r="R68" i="50"/>
  <c r="R66" i="50"/>
  <c r="R64" i="50"/>
  <c r="R62" i="50"/>
  <c r="R60" i="50"/>
  <c r="R58" i="50"/>
  <c r="R56" i="50"/>
  <c r="R54" i="50"/>
  <c r="R52" i="50"/>
  <c r="R50" i="50"/>
  <c r="R48" i="50"/>
  <c r="R46" i="50"/>
  <c r="R44" i="50"/>
  <c r="R42" i="50"/>
  <c r="R40" i="50"/>
  <c r="R38" i="50"/>
  <c r="W5" i="50"/>
  <c r="W7" i="50"/>
  <c r="W9" i="50"/>
  <c r="W11" i="50"/>
  <c r="W13" i="50"/>
  <c r="W15" i="50"/>
  <c r="W17" i="50"/>
  <c r="W19" i="50"/>
  <c r="W21" i="50"/>
  <c r="W23" i="50"/>
  <c r="W25" i="50"/>
  <c r="U31" i="50"/>
  <c r="T6" i="50"/>
  <c r="T8" i="50"/>
  <c r="T10" i="50"/>
  <c r="T12" i="50"/>
  <c r="T14" i="50"/>
  <c r="T16" i="50"/>
  <c r="T18" i="50"/>
  <c r="T20" i="50"/>
  <c r="T22" i="50"/>
  <c r="T24" i="50"/>
  <c r="X68" i="50"/>
  <c r="X66" i="50"/>
  <c r="X64" i="50"/>
  <c r="X62" i="50"/>
  <c r="X60" i="50"/>
  <c r="X58" i="50"/>
  <c r="X56" i="50"/>
  <c r="X54" i="50"/>
  <c r="X52" i="50"/>
  <c r="X50" i="50"/>
  <c r="X48" i="50"/>
  <c r="X46" i="50"/>
  <c r="X44" i="50"/>
  <c r="X42" i="50"/>
  <c r="X40" i="50"/>
  <c r="X38" i="50"/>
  <c r="X36" i="50"/>
  <c r="X34" i="50"/>
  <c r="X32" i="50"/>
  <c r="X30" i="50"/>
  <c r="X28" i="50"/>
  <c r="X26" i="50"/>
  <c r="S67" i="50"/>
  <c r="S65" i="50"/>
  <c r="S63" i="50"/>
  <c r="S61" i="50"/>
  <c r="S59" i="50"/>
  <c r="S57" i="50"/>
  <c r="S55" i="50"/>
  <c r="S53" i="50"/>
  <c r="S51" i="50"/>
  <c r="S49" i="50"/>
  <c r="S47" i="50"/>
  <c r="S45" i="50"/>
  <c r="S43" i="50"/>
  <c r="S41" i="50"/>
  <c r="S39" i="50"/>
  <c r="S37" i="50"/>
  <c r="S35" i="50"/>
  <c r="S33" i="50"/>
  <c r="S31" i="50"/>
  <c r="S29" i="50"/>
  <c r="S27" i="50"/>
  <c r="V67" i="50"/>
  <c r="V65" i="50"/>
  <c r="V63" i="50"/>
  <c r="V61" i="50"/>
  <c r="V59" i="50"/>
  <c r="V57" i="50"/>
  <c r="V55" i="50"/>
  <c r="V53" i="50"/>
  <c r="V51" i="50"/>
  <c r="V49" i="50"/>
  <c r="V47" i="50"/>
  <c r="V45" i="50"/>
  <c r="V43" i="50"/>
  <c r="V41" i="50"/>
  <c r="V39" i="50"/>
  <c r="V37" i="50"/>
  <c r="V33" i="50"/>
  <c r="V30" i="50"/>
  <c r="V28" i="50"/>
  <c r="V26" i="50"/>
  <c r="U65" i="50"/>
  <c r="U61" i="50"/>
  <c r="U57" i="50"/>
  <c r="U53" i="50"/>
  <c r="U49" i="50"/>
  <c r="U45" i="50"/>
  <c r="U41" i="50"/>
  <c r="U37" i="50"/>
  <c r="U5" i="50"/>
  <c r="U9" i="50"/>
  <c r="U13" i="50"/>
  <c r="U17" i="50"/>
  <c r="U21" i="50"/>
  <c r="U25" i="50"/>
  <c r="U32" i="50"/>
  <c r="V6" i="50"/>
  <c r="V8" i="50"/>
  <c r="V10" i="50"/>
  <c r="V12" i="50"/>
  <c r="V14" i="50"/>
  <c r="V16" i="50"/>
  <c r="V18" i="50"/>
  <c r="V20" i="50"/>
  <c r="V22" i="50"/>
  <c r="V24" i="50"/>
  <c r="R36" i="50"/>
  <c r="V32" i="50"/>
  <c r="R30" i="50"/>
  <c r="R28" i="50"/>
  <c r="U68" i="50"/>
  <c r="U64" i="50"/>
  <c r="U60" i="50"/>
  <c r="U56" i="50"/>
  <c r="U52" i="50"/>
  <c r="U48" i="50"/>
  <c r="U44" i="50"/>
  <c r="U40" i="50"/>
  <c r="U36" i="50"/>
  <c r="U6" i="50"/>
  <c r="U10" i="50"/>
  <c r="U14" i="50"/>
  <c r="U18" i="50"/>
  <c r="U22" i="50"/>
  <c r="U26" i="50"/>
  <c r="R5" i="50"/>
  <c r="R7" i="50"/>
  <c r="R9" i="50"/>
  <c r="R11" i="50"/>
  <c r="R13" i="50"/>
  <c r="R15" i="50"/>
  <c r="R17" i="50"/>
  <c r="R19" i="50"/>
  <c r="R21" i="50"/>
  <c r="R23" i="50"/>
  <c r="R25" i="50"/>
  <c r="V35" i="50"/>
  <c r="R32" i="50"/>
  <c r="V29" i="50"/>
  <c r="V27" i="50"/>
  <c r="U67" i="50"/>
  <c r="U63" i="50"/>
  <c r="U59" i="50"/>
  <c r="U55" i="50"/>
  <c r="U51" i="50"/>
  <c r="U47" i="50"/>
  <c r="U43" i="50"/>
  <c r="U39" i="50"/>
  <c r="U35" i="50"/>
  <c r="U7" i="50"/>
  <c r="U11" i="50"/>
  <c r="U15" i="50"/>
  <c r="U19" i="50"/>
  <c r="U23" i="50"/>
  <c r="U28" i="50"/>
  <c r="V5" i="50"/>
  <c r="V7" i="50"/>
  <c r="V9" i="50"/>
  <c r="V11" i="50"/>
  <c r="V13" i="50"/>
  <c r="V15" i="50"/>
  <c r="V17" i="50"/>
  <c r="V19" i="50"/>
  <c r="V21" i="50"/>
  <c r="V23" i="50"/>
  <c r="V25" i="50"/>
  <c r="R34" i="50"/>
  <c r="V31" i="50"/>
  <c r="R29" i="50"/>
  <c r="R27" i="50"/>
  <c r="U66" i="50"/>
  <c r="U62" i="50"/>
  <c r="U58" i="50"/>
  <c r="U54" i="50"/>
  <c r="U50" i="50"/>
  <c r="U46" i="50"/>
  <c r="U42" i="50"/>
  <c r="U38" i="50"/>
  <c r="U34" i="50"/>
  <c r="U8" i="50"/>
  <c r="U12" i="50"/>
  <c r="U16" i="50"/>
  <c r="U20" i="50"/>
  <c r="U24" i="50"/>
  <c r="U30" i="50"/>
  <c r="R6" i="50"/>
  <c r="R8" i="50"/>
  <c r="R10" i="50"/>
  <c r="R12" i="50"/>
  <c r="R14" i="50"/>
  <c r="R16" i="50"/>
  <c r="R18" i="50"/>
  <c r="R20" i="50"/>
  <c r="R22" i="50"/>
  <c r="R24" i="50"/>
  <c r="R26" i="50"/>
  <c r="M4" i="50"/>
  <c r="W4" i="50"/>
  <c r="X5" i="50"/>
  <c r="D9" i="50"/>
  <c r="D8" i="50"/>
  <c r="D7" i="50"/>
  <c r="D54" i="50"/>
  <c r="D53" i="50"/>
  <c r="D44" i="50"/>
  <c r="D61" i="50"/>
  <c r="D66" i="50"/>
  <c r="D12" i="50"/>
  <c r="D55" i="50"/>
  <c r="D18" i="50"/>
  <c r="D15" i="50"/>
  <c r="D17" i="50"/>
  <c r="D13" i="50"/>
  <c r="D20" i="50"/>
  <c r="D42" i="50"/>
  <c r="C5" i="50"/>
  <c r="I4" i="50"/>
  <c r="K4" i="50"/>
  <c r="D46" i="50"/>
  <c r="D28" i="50"/>
  <c r="D27" i="50"/>
  <c r="D26" i="50"/>
  <c r="D25" i="50"/>
  <c r="D24" i="50"/>
  <c r="D19" i="50"/>
  <c r="X6" i="50"/>
  <c r="X4" i="50"/>
  <c r="L4" i="50"/>
  <c r="Q68" i="56"/>
  <c r="Q67" i="56"/>
  <c r="Q66" i="56"/>
  <c r="Q65" i="56"/>
  <c r="Q64" i="56"/>
  <c r="Q63" i="56"/>
  <c r="Q62" i="56"/>
  <c r="Q61" i="56"/>
  <c r="Q60" i="56"/>
  <c r="Q59" i="56"/>
  <c r="Q58" i="56"/>
  <c r="Q57" i="56"/>
  <c r="Q56" i="56"/>
  <c r="Q55" i="56"/>
  <c r="Q54" i="56"/>
  <c r="Q53" i="56"/>
  <c r="Q52" i="56"/>
  <c r="Q51" i="56"/>
  <c r="Q50" i="56"/>
  <c r="Q49" i="56"/>
  <c r="Q48" i="56"/>
  <c r="Q47" i="56"/>
  <c r="Q46" i="56"/>
  <c r="Q45" i="56"/>
  <c r="Q44" i="56"/>
  <c r="Q43" i="56"/>
  <c r="Q42" i="56"/>
  <c r="Q41" i="56"/>
  <c r="Q40" i="56"/>
  <c r="Q39" i="56"/>
  <c r="Q38" i="56"/>
  <c r="Q37" i="56"/>
  <c r="Q36" i="56"/>
  <c r="Q35" i="56"/>
  <c r="Q34" i="56"/>
  <c r="Q33" i="56"/>
  <c r="Q32" i="56"/>
  <c r="Q31" i="56"/>
  <c r="Q30" i="56"/>
  <c r="Q29" i="56"/>
  <c r="Q28" i="56"/>
  <c r="Q27" i="56"/>
  <c r="Q26" i="56"/>
  <c r="Q25" i="56"/>
  <c r="Q24" i="56"/>
  <c r="Q23" i="56"/>
  <c r="Q22" i="56"/>
  <c r="Q21" i="56"/>
  <c r="Q20" i="56"/>
  <c r="Q18" i="56"/>
  <c r="Q17" i="56"/>
  <c r="Q16" i="56"/>
  <c r="Q15" i="56"/>
  <c r="Q14" i="56"/>
  <c r="Q13" i="56"/>
  <c r="Q12" i="56"/>
  <c r="Q11" i="56"/>
  <c r="Q10" i="56"/>
  <c r="Q9" i="56"/>
  <c r="Q8" i="56"/>
  <c r="Q7" i="56"/>
  <c r="Q6" i="56"/>
  <c r="Q5" i="56"/>
  <c r="C4" i="56"/>
  <c r="M68" i="56"/>
  <c r="E68" i="56"/>
  <c r="D68" i="56"/>
  <c r="C68" i="56"/>
  <c r="B68" i="56"/>
  <c r="A68" i="56"/>
  <c r="M67" i="56"/>
  <c r="E67" i="56"/>
  <c r="D67" i="56"/>
  <c r="C67" i="56"/>
  <c r="B67" i="56"/>
  <c r="A67" i="56"/>
  <c r="M66" i="56"/>
  <c r="E66" i="56"/>
  <c r="C66" i="56"/>
  <c r="B66" i="56"/>
  <c r="A66" i="56"/>
  <c r="M65" i="56"/>
  <c r="E65" i="56"/>
  <c r="D65" i="56"/>
  <c r="C65" i="56"/>
  <c r="B65" i="56"/>
  <c r="A65" i="56"/>
  <c r="M64" i="56"/>
  <c r="E64" i="56"/>
  <c r="D64" i="56"/>
  <c r="C64" i="56"/>
  <c r="B64" i="56"/>
  <c r="A64" i="56"/>
  <c r="M63" i="56"/>
  <c r="E63" i="56"/>
  <c r="D63" i="56"/>
  <c r="A63" i="56"/>
  <c r="M62" i="56"/>
  <c r="E62" i="56"/>
  <c r="D62" i="56"/>
  <c r="C62" i="56"/>
  <c r="M61" i="56"/>
  <c r="E61" i="56"/>
  <c r="C61" i="56"/>
  <c r="B61" i="56"/>
  <c r="A61" i="56"/>
  <c r="M60" i="56"/>
  <c r="E60" i="56"/>
  <c r="D60" i="56"/>
  <c r="C60" i="56"/>
  <c r="B60" i="56"/>
  <c r="A60" i="56"/>
  <c r="M59" i="56"/>
  <c r="E59" i="56"/>
  <c r="D59" i="56"/>
  <c r="C59" i="56"/>
  <c r="B59" i="56"/>
  <c r="A59" i="56"/>
  <c r="M58" i="56"/>
  <c r="E58" i="56"/>
  <c r="D58" i="56"/>
  <c r="C58" i="56"/>
  <c r="B58" i="56"/>
  <c r="A58" i="56"/>
  <c r="M57" i="56"/>
  <c r="E57" i="56"/>
  <c r="D57" i="56"/>
  <c r="A57" i="56"/>
  <c r="M56" i="56"/>
  <c r="E56" i="56"/>
  <c r="D56" i="56"/>
  <c r="C56" i="56"/>
  <c r="M55" i="56"/>
  <c r="E55" i="56"/>
  <c r="C55" i="56"/>
  <c r="B55" i="56"/>
  <c r="A55" i="56"/>
  <c r="M54" i="56"/>
  <c r="E54" i="56"/>
  <c r="C54" i="56"/>
  <c r="B54" i="56"/>
  <c r="A54" i="56"/>
  <c r="M53" i="56"/>
  <c r="E53" i="56"/>
  <c r="C53" i="56"/>
  <c r="B53" i="56"/>
  <c r="A53" i="56"/>
  <c r="M52" i="56"/>
  <c r="E52" i="56"/>
  <c r="D52" i="56"/>
  <c r="B52" i="56"/>
  <c r="A52" i="56"/>
  <c r="M51" i="56"/>
  <c r="E51" i="56"/>
  <c r="D51" i="56"/>
  <c r="M50" i="56"/>
  <c r="E50" i="56"/>
  <c r="D50" i="56"/>
  <c r="M49" i="56"/>
  <c r="E49" i="56"/>
  <c r="D49" i="56"/>
  <c r="C49" i="56"/>
  <c r="B49" i="56"/>
  <c r="A49" i="56"/>
  <c r="M48" i="56"/>
  <c r="E48" i="56"/>
  <c r="D48" i="56"/>
  <c r="C48" i="56"/>
  <c r="B48" i="56"/>
  <c r="A48" i="56"/>
  <c r="M47" i="56"/>
  <c r="E47" i="56"/>
  <c r="D47" i="56"/>
  <c r="C47" i="56"/>
  <c r="B47" i="56"/>
  <c r="A47" i="56"/>
  <c r="M46" i="56"/>
  <c r="E46" i="56"/>
  <c r="C46" i="56"/>
  <c r="B46" i="56"/>
  <c r="A46" i="56"/>
  <c r="M45" i="56"/>
  <c r="E45" i="56"/>
  <c r="D45" i="56"/>
  <c r="C45" i="56"/>
  <c r="B45" i="56"/>
  <c r="A45" i="56"/>
  <c r="M44" i="56"/>
  <c r="E44" i="56"/>
  <c r="C44" i="56"/>
  <c r="B44" i="56"/>
  <c r="A44" i="56"/>
  <c r="M43" i="56"/>
  <c r="E43" i="56"/>
  <c r="C43" i="56"/>
  <c r="B43" i="56"/>
  <c r="A43" i="56"/>
  <c r="M42" i="56"/>
  <c r="E42" i="56"/>
  <c r="C42" i="56"/>
  <c r="B42" i="56"/>
  <c r="A42" i="56"/>
  <c r="M41" i="56"/>
  <c r="E41" i="56"/>
  <c r="D41" i="56"/>
  <c r="B41" i="56"/>
  <c r="A41" i="56"/>
  <c r="M40" i="56"/>
  <c r="E40" i="56"/>
  <c r="D40" i="56"/>
  <c r="M39" i="56"/>
  <c r="E39" i="56"/>
  <c r="D39" i="56"/>
  <c r="C39" i="56"/>
  <c r="B39" i="56"/>
  <c r="A39" i="56"/>
  <c r="M38" i="56"/>
  <c r="E38" i="56"/>
  <c r="D38" i="56"/>
  <c r="C38" i="56"/>
  <c r="B38" i="56"/>
  <c r="A38" i="56"/>
  <c r="M37" i="56"/>
  <c r="E37" i="56"/>
  <c r="D37" i="56"/>
  <c r="C37" i="56"/>
  <c r="B37" i="56"/>
  <c r="A37" i="56"/>
  <c r="M36" i="56"/>
  <c r="E36" i="56"/>
  <c r="D36" i="56"/>
  <c r="C36" i="56"/>
  <c r="B36" i="56"/>
  <c r="A36" i="56"/>
  <c r="M35" i="56"/>
  <c r="E35" i="56"/>
  <c r="D35" i="56"/>
  <c r="C35" i="56"/>
  <c r="B35" i="56"/>
  <c r="A35" i="56"/>
  <c r="M34" i="56"/>
  <c r="E34" i="56"/>
  <c r="D34" i="56"/>
  <c r="C34" i="56"/>
  <c r="B34" i="56"/>
  <c r="A34" i="56"/>
  <c r="M33" i="56"/>
  <c r="E33" i="56"/>
  <c r="D33" i="56"/>
  <c r="C33" i="56"/>
  <c r="B33" i="56"/>
  <c r="A33" i="56"/>
  <c r="M32" i="56"/>
  <c r="E32" i="56"/>
  <c r="D32" i="56"/>
  <c r="M31" i="56"/>
  <c r="E31" i="56"/>
  <c r="D31" i="56"/>
  <c r="C31" i="56"/>
  <c r="B31" i="56"/>
  <c r="A31" i="56"/>
  <c r="M30" i="56"/>
  <c r="E30" i="56"/>
  <c r="D30" i="56"/>
  <c r="C30" i="56"/>
  <c r="B30" i="56"/>
  <c r="A30" i="56"/>
  <c r="M29" i="56"/>
  <c r="E29" i="56"/>
  <c r="D29" i="56"/>
  <c r="C29" i="56"/>
  <c r="B29" i="56"/>
  <c r="A29" i="56"/>
  <c r="M28" i="56"/>
  <c r="E28" i="56"/>
  <c r="C28" i="56"/>
  <c r="B28" i="56"/>
  <c r="A28" i="56"/>
  <c r="M27" i="56"/>
  <c r="E27" i="56"/>
  <c r="C27" i="56"/>
  <c r="B27" i="56"/>
  <c r="A27" i="56"/>
  <c r="M26" i="56"/>
  <c r="E26" i="56"/>
  <c r="C26" i="56"/>
  <c r="B26" i="56"/>
  <c r="A26" i="56"/>
  <c r="M25" i="56"/>
  <c r="E25" i="56"/>
  <c r="C25" i="56"/>
  <c r="B25" i="56"/>
  <c r="A25" i="56"/>
  <c r="M24" i="56"/>
  <c r="E24" i="56"/>
  <c r="C24" i="56"/>
  <c r="B24" i="56"/>
  <c r="A24" i="56"/>
  <c r="M23" i="56"/>
  <c r="M22" i="56"/>
  <c r="E22" i="56"/>
  <c r="D22" i="56"/>
  <c r="C22" i="56"/>
  <c r="B22" i="56"/>
  <c r="A22" i="56"/>
  <c r="M21" i="56"/>
  <c r="E21" i="56"/>
  <c r="D21" i="56"/>
  <c r="C21" i="56"/>
  <c r="B21" i="56"/>
  <c r="A21" i="56"/>
  <c r="M20" i="56"/>
  <c r="E20" i="56"/>
  <c r="C20" i="56"/>
  <c r="B20" i="56"/>
  <c r="A20" i="56"/>
  <c r="B19" i="56"/>
  <c r="A19" i="56"/>
  <c r="M18" i="56"/>
  <c r="E18" i="56"/>
  <c r="C18" i="56"/>
  <c r="B18" i="56"/>
  <c r="A18" i="56"/>
  <c r="M17" i="56"/>
  <c r="E17" i="56"/>
  <c r="C17" i="56"/>
  <c r="B17" i="56"/>
  <c r="A17" i="56"/>
  <c r="M16" i="56"/>
  <c r="D16" i="56"/>
  <c r="M15" i="56"/>
  <c r="E15" i="56"/>
  <c r="C15" i="56"/>
  <c r="B15" i="56"/>
  <c r="A15" i="56"/>
  <c r="M14" i="56"/>
  <c r="E14" i="56"/>
  <c r="C14" i="56"/>
  <c r="B14" i="56"/>
  <c r="A14" i="56"/>
  <c r="M13" i="56"/>
  <c r="E13" i="56"/>
  <c r="C13" i="56"/>
  <c r="B13" i="56"/>
  <c r="A13" i="56"/>
  <c r="M12" i="56"/>
  <c r="E12" i="56"/>
  <c r="C12" i="56"/>
  <c r="B12" i="56"/>
  <c r="A12" i="56"/>
  <c r="M11" i="56"/>
  <c r="D11" i="56"/>
  <c r="B11" i="56"/>
  <c r="A11" i="56"/>
  <c r="M10" i="56"/>
  <c r="D10" i="56"/>
  <c r="M9" i="56"/>
  <c r="E9" i="56"/>
  <c r="C9" i="56"/>
  <c r="B9" i="56"/>
  <c r="A9" i="56"/>
  <c r="M8" i="56"/>
  <c r="E8" i="56"/>
  <c r="C8" i="56"/>
  <c r="B8" i="56"/>
  <c r="A8" i="56"/>
  <c r="M7" i="56"/>
  <c r="E7" i="56"/>
  <c r="C7" i="56"/>
  <c r="B7" i="56"/>
  <c r="A7" i="56"/>
  <c r="E6" i="56"/>
  <c r="C6" i="56"/>
  <c r="B6" i="56"/>
  <c r="A6" i="56"/>
  <c r="M5" i="56"/>
  <c r="B5" i="56"/>
  <c r="A5" i="56"/>
  <c r="B2" i="56"/>
  <c r="D43" i="56"/>
  <c r="M6" i="56"/>
  <c r="Q19" i="56"/>
  <c r="W19" i="56"/>
  <c r="S8" i="56"/>
  <c r="S16" i="56"/>
  <c r="R6" i="56"/>
  <c r="W12" i="56"/>
  <c r="W20" i="56"/>
  <c r="S10" i="56"/>
  <c r="S18" i="56"/>
  <c r="S7" i="56"/>
  <c r="S13" i="56"/>
  <c r="S22" i="56"/>
  <c r="T24" i="56"/>
  <c r="V27" i="56"/>
  <c r="X6" i="56"/>
  <c r="X8" i="56"/>
  <c r="X10" i="56"/>
  <c r="X12" i="56"/>
  <c r="X14" i="56"/>
  <c r="X16" i="56"/>
  <c r="X18" i="56"/>
  <c r="X20" i="56"/>
  <c r="X22" i="56"/>
  <c r="W25" i="56"/>
  <c r="X67" i="56"/>
  <c r="X65" i="56"/>
  <c r="X63" i="56"/>
  <c r="X61" i="56"/>
  <c r="X59" i="56"/>
  <c r="X57" i="56"/>
  <c r="X55" i="56"/>
  <c r="X53" i="56"/>
  <c r="X51" i="56"/>
  <c r="X49" i="56"/>
  <c r="X47" i="56"/>
  <c r="X45" i="56"/>
  <c r="X43" i="56"/>
  <c r="X41" i="56"/>
  <c r="X39" i="56"/>
  <c r="X37" i="56"/>
  <c r="X35" i="56"/>
  <c r="X33" i="56"/>
  <c r="X31" i="56"/>
  <c r="X29" i="56"/>
  <c r="X27" i="56"/>
  <c r="S68" i="56"/>
  <c r="S66" i="56"/>
  <c r="S64" i="56"/>
  <c r="S62" i="56"/>
  <c r="S60" i="56"/>
  <c r="S58" i="56"/>
  <c r="S56" i="56"/>
  <c r="S54" i="56"/>
  <c r="S52" i="56"/>
  <c r="S50" i="56"/>
  <c r="S48" i="56"/>
  <c r="S46" i="56"/>
  <c r="S44" i="56"/>
  <c r="S42" i="56"/>
  <c r="S40" i="56"/>
  <c r="S38" i="56"/>
  <c r="S36" i="56"/>
  <c r="S34" i="56"/>
  <c r="S32" i="56"/>
  <c r="S30" i="56"/>
  <c r="V68" i="56"/>
  <c r="V66" i="56"/>
  <c r="V64" i="56"/>
  <c r="V62" i="56"/>
  <c r="V60" i="56"/>
  <c r="V58" i="56"/>
  <c r="V56" i="56"/>
  <c r="V54" i="56"/>
  <c r="V52" i="56"/>
  <c r="V50" i="56"/>
  <c r="V48" i="56"/>
  <c r="V46" i="56"/>
  <c r="V44" i="56"/>
  <c r="V42" i="56"/>
  <c r="V40" i="56"/>
  <c r="V38" i="56"/>
  <c r="V36" i="56"/>
  <c r="V34" i="56"/>
  <c r="V32" i="56"/>
  <c r="V30" i="56"/>
  <c r="V28" i="56"/>
  <c r="R5" i="56"/>
  <c r="W9" i="56"/>
  <c r="W17" i="56"/>
  <c r="W7" i="56"/>
  <c r="S15" i="56"/>
  <c r="V5" i="56"/>
  <c r="W11" i="56"/>
  <c r="W27" i="56"/>
  <c r="R8" i="56"/>
  <c r="W14" i="56"/>
  <c r="W22" i="56"/>
  <c r="V25" i="56"/>
  <c r="T5" i="56"/>
  <c r="T7" i="56"/>
  <c r="T9" i="56"/>
  <c r="T11" i="56"/>
  <c r="T13" i="56"/>
  <c r="T15" i="56"/>
  <c r="T17" i="56"/>
  <c r="T19" i="56"/>
  <c r="T21" i="56"/>
  <c r="T23" i="56"/>
  <c r="S26" i="56"/>
  <c r="T67" i="56"/>
  <c r="T65" i="56"/>
  <c r="T63" i="56"/>
  <c r="T61" i="56"/>
  <c r="T59" i="56"/>
  <c r="T57" i="56"/>
  <c r="T55" i="56"/>
  <c r="T53" i="56"/>
  <c r="T51" i="56"/>
  <c r="T49" i="56"/>
  <c r="T47" i="56"/>
  <c r="T45" i="56"/>
  <c r="T43" i="56"/>
  <c r="T41" i="56"/>
  <c r="T39" i="56"/>
  <c r="T37" i="56"/>
  <c r="T35" i="56"/>
  <c r="T33" i="56"/>
  <c r="T31" i="56"/>
  <c r="T29" i="56"/>
  <c r="T27" i="56"/>
  <c r="W67" i="56"/>
  <c r="W65" i="56"/>
  <c r="W63" i="56"/>
  <c r="W61" i="56"/>
  <c r="W59" i="56"/>
  <c r="W57" i="56"/>
  <c r="W55" i="56"/>
  <c r="W53" i="56"/>
  <c r="W51" i="56"/>
  <c r="W49" i="56"/>
  <c r="W47" i="56"/>
  <c r="W45" i="56"/>
  <c r="W43" i="56"/>
  <c r="W41" i="56"/>
  <c r="W39" i="56"/>
  <c r="W37" i="56"/>
  <c r="W35" i="56"/>
  <c r="W33" i="56"/>
  <c r="W31" i="56"/>
  <c r="W29" i="56"/>
  <c r="R68" i="56"/>
  <c r="R66" i="56"/>
  <c r="R64" i="56"/>
  <c r="R62" i="56"/>
  <c r="R60" i="56"/>
  <c r="R58" i="56"/>
  <c r="R56" i="56"/>
  <c r="R54" i="56"/>
  <c r="R52" i="56"/>
  <c r="R50" i="56"/>
  <c r="R48" i="56"/>
  <c r="R46" i="56"/>
  <c r="R44" i="56"/>
  <c r="R42" i="56"/>
  <c r="R40" i="56"/>
  <c r="R38" i="56"/>
  <c r="R36" i="56"/>
  <c r="R34" i="56"/>
  <c r="R32" i="56"/>
  <c r="R30" i="56"/>
  <c r="R28" i="56"/>
  <c r="W6" i="56"/>
  <c r="S12" i="56"/>
  <c r="S20" i="56"/>
  <c r="W8" i="56"/>
  <c r="W16" i="56"/>
  <c r="S6" i="56"/>
  <c r="S14" i="56"/>
  <c r="W5" i="56"/>
  <c r="S9" i="56"/>
  <c r="S17" i="56"/>
  <c r="S21" i="56"/>
  <c r="S23" i="56"/>
  <c r="R26" i="56"/>
  <c r="X7" i="56"/>
  <c r="X9" i="56"/>
  <c r="X11" i="56"/>
  <c r="X13" i="56"/>
  <c r="X15" i="56"/>
  <c r="X17" i="56"/>
  <c r="X19" i="56"/>
  <c r="X21" i="56"/>
  <c r="V24" i="56"/>
  <c r="X68" i="56"/>
  <c r="X66" i="56"/>
  <c r="X64" i="56"/>
  <c r="X62" i="56"/>
  <c r="X60" i="56"/>
  <c r="X58" i="56"/>
  <c r="X56" i="56"/>
  <c r="X54" i="56"/>
  <c r="X52" i="56"/>
  <c r="X50" i="56"/>
  <c r="X48" i="56"/>
  <c r="X46" i="56"/>
  <c r="X44" i="56"/>
  <c r="X42" i="56"/>
  <c r="X40" i="56"/>
  <c r="X38" i="56"/>
  <c r="X36" i="56"/>
  <c r="X34" i="56"/>
  <c r="X32" i="56"/>
  <c r="X30" i="56"/>
  <c r="X28" i="56"/>
  <c r="X26" i="56"/>
  <c r="S67" i="56"/>
  <c r="S65" i="56"/>
  <c r="S63" i="56"/>
  <c r="S61" i="56"/>
  <c r="S59" i="56"/>
  <c r="S57" i="56"/>
  <c r="S55" i="56"/>
  <c r="S53" i="56"/>
  <c r="S51" i="56"/>
  <c r="S49" i="56"/>
  <c r="S47" i="56"/>
  <c r="S45" i="56"/>
  <c r="S43" i="56"/>
  <c r="S41" i="56"/>
  <c r="S39" i="56"/>
  <c r="S37" i="56"/>
  <c r="S35" i="56"/>
  <c r="S33" i="56"/>
  <c r="S31" i="56"/>
  <c r="S29" i="56"/>
  <c r="V67" i="56"/>
  <c r="V65" i="56"/>
  <c r="V63" i="56"/>
  <c r="V61" i="56"/>
  <c r="V59" i="56"/>
  <c r="V57" i="56"/>
  <c r="V55" i="56"/>
  <c r="V53" i="56"/>
  <c r="V51" i="56"/>
  <c r="V49" i="56"/>
  <c r="V47" i="56"/>
  <c r="V45" i="56"/>
  <c r="V43" i="56"/>
  <c r="V41" i="56"/>
  <c r="V39" i="56"/>
  <c r="V37" i="56"/>
  <c r="V35" i="56"/>
  <c r="V33" i="56"/>
  <c r="V31" i="56"/>
  <c r="V7" i="56"/>
  <c r="W13" i="56"/>
  <c r="S5" i="56"/>
  <c r="S11" i="56"/>
  <c r="S19" i="56"/>
  <c r="R7" i="56"/>
  <c r="W15" i="56"/>
  <c r="V6" i="56"/>
  <c r="W10" i="56"/>
  <c r="W18" i="56"/>
  <c r="W21" i="56"/>
  <c r="X23" i="56"/>
  <c r="W26" i="56"/>
  <c r="T6" i="56"/>
  <c r="T8" i="56"/>
  <c r="T10" i="56"/>
  <c r="T12" i="56"/>
  <c r="T14" i="56"/>
  <c r="T16" i="56"/>
  <c r="T18" i="56"/>
  <c r="T20" i="56"/>
  <c r="T22" i="56"/>
  <c r="R25" i="56"/>
  <c r="T68" i="56"/>
  <c r="T66" i="56"/>
  <c r="T64" i="56"/>
  <c r="T62" i="56"/>
  <c r="T60" i="56"/>
  <c r="T58" i="56"/>
  <c r="T56" i="56"/>
  <c r="T54" i="56"/>
  <c r="T52" i="56"/>
  <c r="T50" i="56"/>
  <c r="T48" i="56"/>
  <c r="T46" i="56"/>
  <c r="T44" i="56"/>
  <c r="T42" i="56"/>
  <c r="T40" i="56"/>
  <c r="T38" i="56"/>
  <c r="T36" i="56"/>
  <c r="T34" i="56"/>
  <c r="T32" i="56"/>
  <c r="T30" i="56"/>
  <c r="T28" i="56"/>
  <c r="W68" i="56"/>
  <c r="W66" i="56"/>
  <c r="W64" i="56"/>
  <c r="W62" i="56"/>
  <c r="W60" i="56"/>
  <c r="W58" i="56"/>
  <c r="W56" i="56"/>
  <c r="W54" i="56"/>
  <c r="W52" i="56"/>
  <c r="W50" i="56"/>
  <c r="W48" i="56"/>
  <c r="W46" i="56"/>
  <c r="W44" i="56"/>
  <c r="W42" i="56"/>
  <c r="W40" i="56"/>
  <c r="W38" i="56"/>
  <c r="W36" i="56"/>
  <c r="W34" i="56"/>
  <c r="W32" i="56"/>
  <c r="W30" i="56"/>
  <c r="W28" i="56"/>
  <c r="R67" i="56"/>
  <c r="R65" i="56"/>
  <c r="R63" i="56"/>
  <c r="R61" i="56"/>
  <c r="R59" i="56"/>
  <c r="R57" i="56"/>
  <c r="R55" i="56"/>
  <c r="R53" i="56"/>
  <c r="R51" i="56"/>
  <c r="R49" i="56"/>
  <c r="R47" i="56"/>
  <c r="R45" i="56"/>
  <c r="R43" i="56"/>
  <c r="R41" i="56"/>
  <c r="R39" i="56"/>
  <c r="R37" i="56"/>
  <c r="R35" i="56"/>
  <c r="R33" i="56"/>
  <c r="R31" i="56"/>
  <c r="U68" i="56"/>
  <c r="U64" i="56"/>
  <c r="U60" i="56"/>
  <c r="U56" i="56"/>
  <c r="U52" i="56"/>
  <c r="U48" i="56"/>
  <c r="U44" i="56"/>
  <c r="U40" i="56"/>
  <c r="U36" i="56"/>
  <c r="U32" i="56"/>
  <c r="U28" i="56"/>
  <c r="U24" i="56"/>
  <c r="U7" i="56"/>
  <c r="U11" i="56"/>
  <c r="U15" i="56"/>
  <c r="U19" i="56"/>
  <c r="V23" i="56"/>
  <c r="X25" i="56"/>
  <c r="R9" i="56"/>
  <c r="R11" i="56"/>
  <c r="R13" i="56"/>
  <c r="R15" i="56"/>
  <c r="R17" i="56"/>
  <c r="R19" i="56"/>
  <c r="R21" i="56"/>
  <c r="R23" i="56"/>
  <c r="T25" i="56"/>
  <c r="U67" i="56"/>
  <c r="U63" i="56"/>
  <c r="U59" i="56"/>
  <c r="U55" i="56"/>
  <c r="U51" i="56"/>
  <c r="U47" i="56"/>
  <c r="U43" i="56"/>
  <c r="U39" i="56"/>
  <c r="U35" i="56"/>
  <c r="U31" i="56"/>
  <c r="U27" i="56"/>
  <c r="U23" i="56"/>
  <c r="U8" i="56"/>
  <c r="U12" i="56"/>
  <c r="U16" i="56"/>
  <c r="U20" i="56"/>
  <c r="R24" i="56"/>
  <c r="T26" i="56"/>
  <c r="V9" i="56"/>
  <c r="V11" i="56"/>
  <c r="V13" i="56"/>
  <c r="V15" i="56"/>
  <c r="V17" i="56"/>
  <c r="V19" i="56"/>
  <c r="V21" i="56"/>
  <c r="W23" i="56"/>
  <c r="V26" i="56"/>
  <c r="V29" i="56"/>
  <c r="U66" i="56"/>
  <c r="U62" i="56"/>
  <c r="U58" i="56"/>
  <c r="U54" i="56"/>
  <c r="U50" i="56"/>
  <c r="U46" i="56"/>
  <c r="U42" i="56"/>
  <c r="U38" i="56"/>
  <c r="U34" i="56"/>
  <c r="U30" i="56"/>
  <c r="U26" i="56"/>
  <c r="U5" i="56"/>
  <c r="U9" i="56"/>
  <c r="U13" i="56"/>
  <c r="U17" i="56"/>
  <c r="U21" i="56"/>
  <c r="W24" i="56"/>
  <c r="R27" i="56"/>
  <c r="R10" i="56"/>
  <c r="R12" i="56"/>
  <c r="R14" i="56"/>
  <c r="R16" i="56"/>
  <c r="R18" i="56"/>
  <c r="R20" i="56"/>
  <c r="R22" i="56"/>
  <c r="S24" i="56"/>
  <c r="S27" i="56"/>
  <c r="R29" i="56"/>
  <c r="U65" i="56"/>
  <c r="U61" i="56"/>
  <c r="U57" i="56"/>
  <c r="U53" i="56"/>
  <c r="U49" i="56"/>
  <c r="U45" i="56"/>
  <c r="U41" i="56"/>
  <c r="U37" i="56"/>
  <c r="U33" i="56"/>
  <c r="U29" i="56"/>
  <c r="U25" i="56"/>
  <c r="U6" i="56"/>
  <c r="U10" i="56"/>
  <c r="U14" i="56"/>
  <c r="U18" i="56"/>
  <c r="U22" i="56"/>
  <c r="S25" i="56"/>
  <c r="V8" i="56"/>
  <c r="V10" i="56"/>
  <c r="V12" i="56"/>
  <c r="V14" i="56"/>
  <c r="V16" i="56"/>
  <c r="V18" i="56"/>
  <c r="V20" i="56"/>
  <c r="V22" i="56"/>
  <c r="X24" i="56"/>
  <c r="S28" i="56"/>
  <c r="M19" i="56"/>
  <c r="W4" i="56"/>
  <c r="M4" i="56"/>
  <c r="D9" i="56"/>
  <c r="D8" i="56"/>
  <c r="D7" i="56"/>
  <c r="D54" i="56"/>
  <c r="D53" i="56"/>
  <c r="D44" i="56"/>
  <c r="D61" i="56"/>
  <c r="D66" i="56"/>
  <c r="D12" i="56"/>
  <c r="D55" i="56"/>
  <c r="D18" i="56"/>
  <c r="D15" i="56"/>
  <c r="D17" i="56"/>
  <c r="D13" i="56"/>
  <c r="D20" i="56"/>
  <c r="D42" i="56"/>
  <c r="C5" i="56"/>
  <c r="I4" i="56"/>
  <c r="K4" i="56"/>
  <c r="D14" i="56"/>
  <c r="D46" i="56"/>
  <c r="D28" i="56"/>
  <c r="D27" i="56"/>
  <c r="D26" i="56"/>
  <c r="D25" i="56"/>
  <c r="D24" i="56"/>
  <c r="X5" i="56"/>
  <c r="X4" i="56"/>
  <c r="L4" i="56"/>
  <c r="Q68" i="52"/>
  <c r="Q67" i="52"/>
  <c r="Q66" i="52"/>
  <c r="Q65" i="52"/>
  <c r="Q64" i="52"/>
  <c r="Q63" i="52"/>
  <c r="Q62" i="52"/>
  <c r="Q61" i="52"/>
  <c r="Q60" i="52"/>
  <c r="Q59" i="52"/>
  <c r="Q58" i="52"/>
  <c r="Q57" i="52"/>
  <c r="Q56" i="52"/>
  <c r="Q55" i="52"/>
  <c r="Q54" i="52"/>
  <c r="Q53" i="52"/>
  <c r="Q52" i="52"/>
  <c r="Q51" i="52"/>
  <c r="Q50" i="52"/>
  <c r="Q49" i="52"/>
  <c r="Q48" i="52"/>
  <c r="Q47" i="52"/>
  <c r="Q46" i="52"/>
  <c r="Q45" i="52"/>
  <c r="Q44" i="52"/>
  <c r="Q43" i="52"/>
  <c r="Q42" i="52"/>
  <c r="Q41" i="52"/>
  <c r="Q40" i="52"/>
  <c r="Q39" i="52"/>
  <c r="Q38" i="52"/>
  <c r="Q37" i="52"/>
  <c r="Q36" i="52"/>
  <c r="Q35" i="52"/>
  <c r="Q34" i="52"/>
  <c r="Q33" i="52"/>
  <c r="Q32" i="52"/>
  <c r="Q31" i="52"/>
  <c r="Q30" i="52"/>
  <c r="Q29" i="52"/>
  <c r="Q28" i="52"/>
  <c r="Q27" i="52"/>
  <c r="Q26" i="52"/>
  <c r="Q25" i="52"/>
  <c r="Q24" i="52"/>
  <c r="Q23" i="52"/>
  <c r="Q22" i="52"/>
  <c r="Q21" i="52"/>
  <c r="Q20" i="52"/>
  <c r="Q19" i="52"/>
  <c r="Q18" i="52"/>
  <c r="Q17" i="52"/>
  <c r="Q16" i="52"/>
  <c r="Q15" i="52"/>
  <c r="Q13" i="52"/>
  <c r="Q12" i="52"/>
  <c r="Q11" i="52"/>
  <c r="Q10" i="52"/>
  <c r="Q9" i="52"/>
  <c r="Q8" i="52"/>
  <c r="Q7" i="52"/>
  <c r="Q6" i="52"/>
  <c r="Q5" i="52"/>
  <c r="C4" i="52"/>
  <c r="M68" i="52"/>
  <c r="E68" i="52"/>
  <c r="D68" i="52"/>
  <c r="C68" i="52"/>
  <c r="B68" i="52"/>
  <c r="A68" i="52"/>
  <c r="M67" i="52"/>
  <c r="E67" i="52"/>
  <c r="D67" i="52"/>
  <c r="C67" i="52"/>
  <c r="B67" i="52"/>
  <c r="A67" i="52"/>
  <c r="M66" i="52"/>
  <c r="E66" i="52"/>
  <c r="C66" i="52"/>
  <c r="B66" i="52"/>
  <c r="A66" i="52"/>
  <c r="M65" i="52"/>
  <c r="E65" i="52"/>
  <c r="D65" i="52"/>
  <c r="C65" i="52"/>
  <c r="B65" i="52"/>
  <c r="A65" i="52"/>
  <c r="M64" i="52"/>
  <c r="E64" i="52"/>
  <c r="D64" i="52"/>
  <c r="C64" i="52"/>
  <c r="B64" i="52"/>
  <c r="A64" i="52"/>
  <c r="M63" i="52"/>
  <c r="E63" i="52"/>
  <c r="D63" i="52"/>
  <c r="A63" i="52"/>
  <c r="M62" i="52"/>
  <c r="E62" i="52"/>
  <c r="D62" i="52"/>
  <c r="C62" i="52"/>
  <c r="M61" i="52"/>
  <c r="E61" i="52"/>
  <c r="C61" i="52"/>
  <c r="B61" i="52"/>
  <c r="A61" i="52"/>
  <c r="M60" i="52"/>
  <c r="E60" i="52"/>
  <c r="D60" i="52"/>
  <c r="C60" i="52"/>
  <c r="B60" i="52"/>
  <c r="A60" i="52"/>
  <c r="M59" i="52"/>
  <c r="E59" i="52"/>
  <c r="D59" i="52"/>
  <c r="C59" i="52"/>
  <c r="B59" i="52"/>
  <c r="A59" i="52"/>
  <c r="M58" i="52"/>
  <c r="E58" i="52"/>
  <c r="D58" i="52"/>
  <c r="C58" i="52"/>
  <c r="B58" i="52"/>
  <c r="A58" i="52"/>
  <c r="M57" i="52"/>
  <c r="E57" i="52"/>
  <c r="D57" i="52"/>
  <c r="A57" i="52"/>
  <c r="M56" i="52"/>
  <c r="E56" i="52"/>
  <c r="D56" i="52"/>
  <c r="C56" i="52"/>
  <c r="M55" i="52"/>
  <c r="E55" i="52"/>
  <c r="C55" i="52"/>
  <c r="B55" i="52"/>
  <c r="A55" i="52"/>
  <c r="M54" i="52"/>
  <c r="E54" i="52"/>
  <c r="C54" i="52"/>
  <c r="B54" i="52"/>
  <c r="A54" i="52"/>
  <c r="M53" i="52"/>
  <c r="E53" i="52"/>
  <c r="C53" i="52"/>
  <c r="B53" i="52"/>
  <c r="A53" i="52"/>
  <c r="M52" i="52"/>
  <c r="E52" i="52"/>
  <c r="D52" i="52"/>
  <c r="B52" i="52"/>
  <c r="A52" i="52"/>
  <c r="M51" i="52"/>
  <c r="E51" i="52"/>
  <c r="D51" i="52"/>
  <c r="M50" i="52"/>
  <c r="E50" i="52"/>
  <c r="D50" i="52"/>
  <c r="M49" i="52"/>
  <c r="E49" i="52"/>
  <c r="D49" i="52"/>
  <c r="C49" i="52"/>
  <c r="B49" i="52"/>
  <c r="A49" i="52"/>
  <c r="M48" i="52"/>
  <c r="E48" i="52"/>
  <c r="D48" i="52"/>
  <c r="C48" i="52"/>
  <c r="B48" i="52"/>
  <c r="A48" i="52"/>
  <c r="M47" i="52"/>
  <c r="E47" i="52"/>
  <c r="D47" i="52"/>
  <c r="C47" i="52"/>
  <c r="B47" i="52"/>
  <c r="A47" i="52"/>
  <c r="M46" i="52"/>
  <c r="E46" i="52"/>
  <c r="C46" i="52"/>
  <c r="B46" i="52"/>
  <c r="A46" i="52"/>
  <c r="M45" i="52"/>
  <c r="E45" i="52"/>
  <c r="D45" i="52"/>
  <c r="C45" i="52"/>
  <c r="B45" i="52"/>
  <c r="A45" i="52"/>
  <c r="M44" i="52"/>
  <c r="E44" i="52"/>
  <c r="C44" i="52"/>
  <c r="B44" i="52"/>
  <c r="A44" i="52"/>
  <c r="M43" i="52"/>
  <c r="E43" i="52"/>
  <c r="C43" i="52"/>
  <c r="B43" i="52"/>
  <c r="A43" i="52"/>
  <c r="M42" i="52"/>
  <c r="E42" i="52"/>
  <c r="C42" i="52"/>
  <c r="B42" i="52"/>
  <c r="A42" i="52"/>
  <c r="M41" i="52"/>
  <c r="E41" i="52"/>
  <c r="D41" i="52"/>
  <c r="B41" i="52"/>
  <c r="A41" i="52"/>
  <c r="M40" i="52"/>
  <c r="E40" i="52"/>
  <c r="D40" i="52"/>
  <c r="M39" i="52"/>
  <c r="E39" i="52"/>
  <c r="D39" i="52"/>
  <c r="C39" i="52"/>
  <c r="B39" i="52"/>
  <c r="A39" i="52"/>
  <c r="M38" i="52"/>
  <c r="E38" i="52"/>
  <c r="D38" i="52"/>
  <c r="C38" i="52"/>
  <c r="B38" i="52"/>
  <c r="A38" i="52"/>
  <c r="M37" i="52"/>
  <c r="E37" i="52"/>
  <c r="D37" i="52"/>
  <c r="C37" i="52"/>
  <c r="B37" i="52"/>
  <c r="A37" i="52"/>
  <c r="M36" i="52"/>
  <c r="E36" i="52"/>
  <c r="D36" i="52"/>
  <c r="C36" i="52"/>
  <c r="B36" i="52"/>
  <c r="A36" i="52"/>
  <c r="M35" i="52"/>
  <c r="E35" i="52"/>
  <c r="D35" i="52"/>
  <c r="C35" i="52"/>
  <c r="B35" i="52"/>
  <c r="A35" i="52"/>
  <c r="M34" i="52"/>
  <c r="E34" i="52"/>
  <c r="D34" i="52"/>
  <c r="C34" i="52"/>
  <c r="B34" i="52"/>
  <c r="A34" i="52"/>
  <c r="M33" i="52"/>
  <c r="E33" i="52"/>
  <c r="D33" i="52"/>
  <c r="C33" i="52"/>
  <c r="B33" i="52"/>
  <c r="A33" i="52"/>
  <c r="M32" i="52"/>
  <c r="E32" i="52"/>
  <c r="D32" i="52"/>
  <c r="M31" i="52"/>
  <c r="E31" i="52"/>
  <c r="D31" i="52"/>
  <c r="C31" i="52"/>
  <c r="B31" i="52"/>
  <c r="A31" i="52"/>
  <c r="M30" i="52"/>
  <c r="E30" i="52"/>
  <c r="D30" i="52"/>
  <c r="C30" i="52"/>
  <c r="B30" i="52"/>
  <c r="A30" i="52"/>
  <c r="M29" i="52"/>
  <c r="E29" i="52"/>
  <c r="D29" i="52"/>
  <c r="C29" i="52"/>
  <c r="B29" i="52"/>
  <c r="A29" i="52"/>
  <c r="M28" i="52"/>
  <c r="E28" i="52"/>
  <c r="C28" i="52"/>
  <c r="B28" i="52"/>
  <c r="A28" i="52"/>
  <c r="M27" i="52"/>
  <c r="E27" i="52"/>
  <c r="C27" i="52"/>
  <c r="B27" i="52"/>
  <c r="A27" i="52"/>
  <c r="M26" i="52"/>
  <c r="E26" i="52"/>
  <c r="C26" i="52"/>
  <c r="B26" i="52"/>
  <c r="A26" i="52"/>
  <c r="M25" i="52"/>
  <c r="E25" i="52"/>
  <c r="C25" i="52"/>
  <c r="B25" i="52"/>
  <c r="A25" i="52"/>
  <c r="M24" i="52"/>
  <c r="E24" i="52"/>
  <c r="C24" i="52"/>
  <c r="B24" i="52"/>
  <c r="A24" i="52"/>
  <c r="M23" i="52"/>
  <c r="M22" i="52"/>
  <c r="E22" i="52"/>
  <c r="D22" i="52"/>
  <c r="C22" i="52"/>
  <c r="B22" i="52"/>
  <c r="A22" i="52"/>
  <c r="M21" i="52"/>
  <c r="E21" i="52"/>
  <c r="D21" i="52"/>
  <c r="C21" i="52"/>
  <c r="B21" i="52"/>
  <c r="A21" i="52"/>
  <c r="M20" i="52"/>
  <c r="E20" i="52"/>
  <c r="C20" i="52"/>
  <c r="B20" i="52"/>
  <c r="A20" i="52"/>
  <c r="M19" i="52"/>
  <c r="E19" i="52"/>
  <c r="C19" i="52"/>
  <c r="B19" i="52"/>
  <c r="A19" i="52"/>
  <c r="M18" i="52"/>
  <c r="E18" i="52"/>
  <c r="C18" i="52"/>
  <c r="B18" i="52"/>
  <c r="A18" i="52"/>
  <c r="M17" i="52"/>
  <c r="E17" i="52"/>
  <c r="C17" i="52"/>
  <c r="B17" i="52"/>
  <c r="A17" i="52"/>
  <c r="M16" i="52"/>
  <c r="D16" i="52"/>
  <c r="M15" i="52"/>
  <c r="E15" i="52"/>
  <c r="C15" i="52"/>
  <c r="B15" i="52"/>
  <c r="A15" i="52"/>
  <c r="B14" i="52"/>
  <c r="A14" i="52"/>
  <c r="M13" i="52"/>
  <c r="E13" i="52"/>
  <c r="C13" i="52"/>
  <c r="B13" i="52"/>
  <c r="A13" i="52"/>
  <c r="M12" i="52"/>
  <c r="E12" i="52"/>
  <c r="C12" i="52"/>
  <c r="B12" i="52"/>
  <c r="A12" i="52"/>
  <c r="M11" i="52"/>
  <c r="D11" i="52"/>
  <c r="B11" i="52"/>
  <c r="A11" i="52"/>
  <c r="M10" i="52"/>
  <c r="D10" i="52"/>
  <c r="M9" i="52"/>
  <c r="E9" i="52"/>
  <c r="C9" i="52"/>
  <c r="B9" i="52"/>
  <c r="A9" i="52"/>
  <c r="M8" i="52"/>
  <c r="E8" i="52"/>
  <c r="C8" i="52"/>
  <c r="B8" i="52"/>
  <c r="A8" i="52"/>
  <c r="M7" i="52"/>
  <c r="E7" i="52"/>
  <c r="C7" i="52"/>
  <c r="B7" i="52"/>
  <c r="A7" i="52"/>
  <c r="E6" i="52"/>
  <c r="C6" i="52"/>
  <c r="B6" i="52"/>
  <c r="A6" i="52"/>
  <c r="M5" i="52"/>
  <c r="B5" i="52"/>
  <c r="A5" i="52"/>
  <c r="B2" i="52"/>
  <c r="D43" i="52"/>
  <c r="M6" i="52"/>
  <c r="Q14" i="52"/>
  <c r="W33" i="52"/>
  <c r="X6" i="52"/>
  <c r="X8" i="52"/>
  <c r="X10" i="52"/>
  <c r="X12" i="52"/>
  <c r="X14" i="52"/>
  <c r="X16" i="52"/>
  <c r="X18" i="52"/>
  <c r="X20" i="52"/>
  <c r="X22" i="52"/>
  <c r="X24" i="52"/>
  <c r="V27" i="52"/>
  <c r="S31" i="52"/>
  <c r="X67" i="52"/>
  <c r="X65" i="52"/>
  <c r="X63" i="52"/>
  <c r="X61" i="52"/>
  <c r="X59" i="52"/>
  <c r="X57" i="52"/>
  <c r="X55" i="52"/>
  <c r="X53" i="52"/>
  <c r="X51" i="52"/>
  <c r="X49" i="52"/>
  <c r="X47" i="52"/>
  <c r="X45" i="52"/>
  <c r="X43" i="52"/>
  <c r="X41" i="52"/>
  <c r="X39" i="52"/>
  <c r="X37" i="52"/>
  <c r="X35" i="52"/>
  <c r="X33" i="52"/>
  <c r="X31" i="52"/>
  <c r="X29" i="52"/>
  <c r="X27" i="52"/>
  <c r="S68" i="52"/>
  <c r="S66" i="52"/>
  <c r="S64" i="52"/>
  <c r="S62" i="52"/>
  <c r="S60" i="52"/>
  <c r="S58" i="52"/>
  <c r="S56" i="52"/>
  <c r="S54" i="52"/>
  <c r="S52" i="52"/>
  <c r="S50" i="52"/>
  <c r="S48" i="52"/>
  <c r="S46" i="52"/>
  <c r="S44" i="52"/>
  <c r="S42" i="52"/>
  <c r="S40" i="52"/>
  <c r="S38" i="52"/>
  <c r="S36" i="52"/>
  <c r="S34" i="52"/>
  <c r="R67" i="52"/>
  <c r="R65" i="52"/>
  <c r="R63" i="52"/>
  <c r="R61" i="52"/>
  <c r="R59" i="52"/>
  <c r="R57" i="52"/>
  <c r="R55" i="52"/>
  <c r="R53" i="52"/>
  <c r="R51" i="52"/>
  <c r="R49" i="52"/>
  <c r="R47" i="52"/>
  <c r="R45" i="52"/>
  <c r="R43" i="52"/>
  <c r="R41" i="52"/>
  <c r="R39" i="52"/>
  <c r="R37" i="52"/>
  <c r="U67" i="52"/>
  <c r="U63" i="52"/>
  <c r="U59" i="52"/>
  <c r="U55" i="52"/>
  <c r="U51" i="52"/>
  <c r="U47" i="52"/>
  <c r="U43" i="52"/>
  <c r="U39" i="52"/>
  <c r="U35" i="52"/>
  <c r="U31" i="52"/>
  <c r="U6" i="52"/>
  <c r="U10" i="52"/>
  <c r="U14" i="52"/>
  <c r="U18" i="52"/>
  <c r="U22" i="52"/>
  <c r="U26" i="52"/>
  <c r="R29" i="52"/>
  <c r="T5" i="52"/>
  <c r="T7" i="52"/>
  <c r="T9" i="52"/>
  <c r="T11" i="52"/>
  <c r="T13" i="52"/>
  <c r="T15" i="52"/>
  <c r="T17" i="52"/>
  <c r="T19" i="52"/>
  <c r="T21" i="52"/>
  <c r="T23" i="52"/>
  <c r="T25" i="52"/>
  <c r="S28" i="52"/>
  <c r="R32" i="52"/>
  <c r="T67" i="52"/>
  <c r="T65" i="52"/>
  <c r="T63" i="52"/>
  <c r="T61" i="52"/>
  <c r="T59" i="52"/>
  <c r="T57" i="52"/>
  <c r="T55" i="52"/>
  <c r="T53" i="52"/>
  <c r="T51" i="52"/>
  <c r="T49" i="52"/>
  <c r="T47" i="52"/>
  <c r="T45" i="52"/>
  <c r="T43" i="52"/>
  <c r="T41" i="52"/>
  <c r="T39" i="52"/>
  <c r="T37" i="52"/>
  <c r="T35" i="52"/>
  <c r="T33" i="52"/>
  <c r="T31" i="52"/>
  <c r="T29" i="52"/>
  <c r="T27" i="52"/>
  <c r="W67" i="52"/>
  <c r="W65" i="52"/>
  <c r="W63" i="52"/>
  <c r="W61" i="52"/>
  <c r="W59" i="52"/>
  <c r="W57" i="52"/>
  <c r="W55" i="52"/>
  <c r="W53" i="52"/>
  <c r="W51" i="52"/>
  <c r="W49" i="52"/>
  <c r="W47" i="52"/>
  <c r="W45" i="52"/>
  <c r="W43" i="52"/>
  <c r="W41" i="52"/>
  <c r="W39" i="52"/>
  <c r="W37" i="52"/>
  <c r="W35" i="52"/>
  <c r="V68" i="52"/>
  <c r="V66" i="52"/>
  <c r="V64" i="52"/>
  <c r="V62" i="52"/>
  <c r="V60" i="52"/>
  <c r="V58" i="52"/>
  <c r="V56" i="52"/>
  <c r="V54" i="52"/>
  <c r="V52" i="52"/>
  <c r="V50" i="52"/>
  <c r="V48" i="52"/>
  <c r="V46" i="52"/>
  <c r="V44" i="52"/>
  <c r="V42" i="52"/>
  <c r="V40" i="52"/>
  <c r="V38" i="52"/>
  <c r="V36" i="52"/>
  <c r="U66" i="52"/>
  <c r="U62" i="52"/>
  <c r="U58" i="52"/>
  <c r="U54" i="52"/>
  <c r="U50" i="52"/>
  <c r="U46" i="52"/>
  <c r="U42" i="52"/>
  <c r="U38" i="52"/>
  <c r="U34" i="52"/>
  <c r="U30" i="52"/>
  <c r="U7" i="52"/>
  <c r="U11" i="52"/>
  <c r="X7" i="52"/>
  <c r="X9" i="52"/>
  <c r="X11" i="52"/>
  <c r="X13" i="52"/>
  <c r="X15" i="52"/>
  <c r="X17" i="52"/>
  <c r="X19" i="52"/>
  <c r="X21" i="52"/>
  <c r="X23" i="52"/>
  <c r="X25" i="52"/>
  <c r="W29" i="52"/>
  <c r="X68" i="52"/>
  <c r="X66" i="52"/>
  <c r="X64" i="52"/>
  <c r="X62" i="52"/>
  <c r="X60" i="52"/>
  <c r="X58" i="52"/>
  <c r="X56" i="52"/>
  <c r="X54" i="52"/>
  <c r="X52" i="52"/>
  <c r="X50" i="52"/>
  <c r="X48" i="52"/>
  <c r="X46" i="52"/>
  <c r="X44" i="52"/>
  <c r="X42" i="52"/>
  <c r="X40" i="52"/>
  <c r="X38" i="52"/>
  <c r="X36" i="52"/>
  <c r="X34" i="52"/>
  <c r="X32" i="52"/>
  <c r="X30" i="52"/>
  <c r="X28" i="52"/>
  <c r="X26" i="52"/>
  <c r="S67" i="52"/>
  <c r="S65" i="52"/>
  <c r="S63" i="52"/>
  <c r="S61" i="52"/>
  <c r="S59" i="52"/>
  <c r="S57" i="52"/>
  <c r="S55" i="52"/>
  <c r="S53" i="52"/>
  <c r="S51" i="52"/>
  <c r="S49" i="52"/>
  <c r="S47" i="52"/>
  <c r="S45" i="52"/>
  <c r="S43" i="52"/>
  <c r="S41" i="52"/>
  <c r="S39" i="52"/>
  <c r="S37" i="52"/>
  <c r="S35" i="52"/>
  <c r="R68" i="52"/>
  <c r="R66" i="52"/>
  <c r="R64" i="52"/>
  <c r="R62" i="52"/>
  <c r="R60" i="52"/>
  <c r="R58" i="52"/>
  <c r="R56" i="52"/>
  <c r="R54" i="52"/>
  <c r="R52" i="52"/>
  <c r="R50" i="52"/>
  <c r="R48" i="52"/>
  <c r="R46" i="52"/>
  <c r="R44" i="52"/>
  <c r="R42" i="52"/>
  <c r="R40" i="52"/>
  <c r="R38" i="52"/>
  <c r="R36" i="52"/>
  <c r="U65" i="52"/>
  <c r="U61" i="52"/>
  <c r="U57" i="52"/>
  <c r="U53" i="52"/>
  <c r="U49" i="52"/>
  <c r="U45" i="52"/>
  <c r="U41" i="52"/>
  <c r="U37" i="52"/>
  <c r="U33" i="52"/>
  <c r="U29" i="52"/>
  <c r="U8" i="52"/>
  <c r="U12" i="52"/>
  <c r="T6" i="52"/>
  <c r="T8" i="52"/>
  <c r="T10" i="52"/>
  <c r="T12" i="52"/>
  <c r="T14" i="52"/>
  <c r="T16" i="52"/>
  <c r="T18" i="52"/>
  <c r="T20" i="52"/>
  <c r="T22" i="52"/>
  <c r="T24" i="52"/>
  <c r="T26" i="52"/>
  <c r="V30" i="52"/>
  <c r="T68" i="52"/>
  <c r="T66" i="52"/>
  <c r="T64" i="52"/>
  <c r="T62" i="52"/>
  <c r="T60" i="52"/>
  <c r="T58" i="52"/>
  <c r="T56" i="52"/>
  <c r="T54" i="52"/>
  <c r="T52" i="52"/>
  <c r="T50" i="52"/>
  <c r="T48" i="52"/>
  <c r="T46" i="52"/>
  <c r="T44" i="52"/>
  <c r="T42" i="52"/>
  <c r="T40" i="52"/>
  <c r="T38" i="52"/>
  <c r="T36" i="52"/>
  <c r="T34" i="52"/>
  <c r="T32" i="52"/>
  <c r="T30" i="52"/>
  <c r="T28" i="52"/>
  <c r="W68" i="52"/>
  <c r="W66" i="52"/>
  <c r="W64" i="52"/>
  <c r="W62" i="52"/>
  <c r="W60" i="52"/>
  <c r="W58" i="52"/>
  <c r="W56" i="52"/>
  <c r="W54" i="52"/>
  <c r="W52" i="52"/>
  <c r="W50" i="52"/>
  <c r="W48" i="52"/>
  <c r="W46" i="52"/>
  <c r="W44" i="52"/>
  <c r="W42" i="52"/>
  <c r="W40" i="52"/>
  <c r="W38" i="52"/>
  <c r="W36" i="52"/>
  <c r="W34" i="52"/>
  <c r="V67" i="52"/>
  <c r="V65" i="52"/>
  <c r="V63" i="52"/>
  <c r="V61" i="52"/>
  <c r="V59" i="52"/>
  <c r="V57" i="52"/>
  <c r="V55" i="52"/>
  <c r="V53" i="52"/>
  <c r="V51" i="52"/>
  <c r="V49" i="52"/>
  <c r="V47" i="52"/>
  <c r="V45" i="52"/>
  <c r="V43" i="52"/>
  <c r="V41" i="52"/>
  <c r="V39" i="52"/>
  <c r="V37" i="52"/>
  <c r="U68" i="52"/>
  <c r="U64" i="52"/>
  <c r="U60" i="52"/>
  <c r="U56" i="52"/>
  <c r="U52" i="52"/>
  <c r="U48" i="52"/>
  <c r="U44" i="52"/>
  <c r="U40" i="52"/>
  <c r="U36" i="52"/>
  <c r="U32" i="52"/>
  <c r="U5" i="52"/>
  <c r="U16" i="52"/>
  <c r="U21" i="52"/>
  <c r="R27" i="52"/>
  <c r="V31" i="52"/>
  <c r="R5" i="52"/>
  <c r="R7" i="52"/>
  <c r="R9" i="52"/>
  <c r="R11" i="52"/>
  <c r="R13" i="52"/>
  <c r="R15" i="52"/>
  <c r="R17" i="52"/>
  <c r="R19" i="52"/>
  <c r="R21" i="52"/>
  <c r="R23" i="52"/>
  <c r="R25" i="52"/>
  <c r="S27" i="52"/>
  <c r="W31" i="52"/>
  <c r="V35" i="52"/>
  <c r="W6" i="52"/>
  <c r="W8" i="52"/>
  <c r="W10" i="52"/>
  <c r="W12" i="52"/>
  <c r="W14" i="52"/>
  <c r="W16" i="52"/>
  <c r="W18" i="52"/>
  <c r="W20" i="52"/>
  <c r="W22" i="52"/>
  <c r="W24" i="52"/>
  <c r="V29" i="52"/>
  <c r="V33" i="52"/>
  <c r="U9" i="52"/>
  <c r="U17" i="52"/>
  <c r="U23" i="52"/>
  <c r="W27" i="52"/>
  <c r="S32" i="52"/>
  <c r="V5" i="52"/>
  <c r="V7" i="52"/>
  <c r="V9" i="52"/>
  <c r="V11" i="52"/>
  <c r="V13" i="52"/>
  <c r="V15" i="52"/>
  <c r="V17" i="52"/>
  <c r="V19" i="52"/>
  <c r="V21" i="52"/>
  <c r="V23" i="52"/>
  <c r="V25" i="52"/>
  <c r="V28" i="52"/>
  <c r="V32" i="52"/>
  <c r="S5" i="52"/>
  <c r="S7" i="52"/>
  <c r="S9" i="52"/>
  <c r="S11" i="52"/>
  <c r="S13" i="52"/>
  <c r="S15" i="52"/>
  <c r="S17" i="52"/>
  <c r="S19" i="52"/>
  <c r="S21" i="52"/>
  <c r="S23" i="52"/>
  <c r="S25" i="52"/>
  <c r="U27" i="52"/>
  <c r="S30" i="52"/>
  <c r="V34" i="52"/>
  <c r="U13" i="52"/>
  <c r="U19" i="52"/>
  <c r="U24" i="52"/>
  <c r="U28" i="52"/>
  <c r="R33" i="52"/>
  <c r="R6" i="52"/>
  <c r="R8" i="52"/>
  <c r="R10" i="52"/>
  <c r="R12" i="52"/>
  <c r="R14" i="52"/>
  <c r="R16" i="52"/>
  <c r="R18" i="52"/>
  <c r="R20" i="52"/>
  <c r="R22" i="52"/>
  <c r="R24" i="52"/>
  <c r="R26" i="52"/>
  <c r="S29" i="52"/>
  <c r="S33" i="52"/>
  <c r="W5" i="52"/>
  <c r="W7" i="52"/>
  <c r="W9" i="52"/>
  <c r="W11" i="52"/>
  <c r="W13" i="52"/>
  <c r="W15" i="52"/>
  <c r="W17" i="52"/>
  <c r="W19" i="52"/>
  <c r="W21" i="52"/>
  <c r="W23" i="52"/>
  <c r="W25" i="52"/>
  <c r="R28" i="52"/>
  <c r="R31" i="52"/>
  <c r="U15" i="52"/>
  <c r="U20" i="52"/>
  <c r="U25" i="52"/>
  <c r="W30" i="52"/>
  <c r="R35" i="52"/>
  <c r="V6" i="52"/>
  <c r="V8" i="52"/>
  <c r="V10" i="52"/>
  <c r="V12" i="52"/>
  <c r="V14" i="52"/>
  <c r="V16" i="52"/>
  <c r="V18" i="52"/>
  <c r="V20" i="52"/>
  <c r="V22" i="52"/>
  <c r="V24" i="52"/>
  <c r="V26" i="52"/>
  <c r="R30" i="52"/>
  <c r="R34" i="52"/>
  <c r="S6" i="52"/>
  <c r="S8" i="52"/>
  <c r="S10" i="52"/>
  <c r="S12" i="52"/>
  <c r="S14" i="52"/>
  <c r="S16" i="52"/>
  <c r="S18" i="52"/>
  <c r="S20" i="52"/>
  <c r="S22" i="52"/>
  <c r="S24" i="52"/>
  <c r="S26" i="52"/>
  <c r="W28" i="52"/>
  <c r="W32" i="52"/>
  <c r="W26" i="52"/>
  <c r="M14" i="52"/>
  <c r="M4" i="52"/>
  <c r="W4" i="52"/>
  <c r="D9" i="52"/>
  <c r="D8" i="52"/>
  <c r="D7" i="52"/>
  <c r="D54" i="52"/>
  <c r="D53" i="52"/>
  <c r="D44" i="52"/>
  <c r="D61" i="52"/>
  <c r="D66" i="52"/>
  <c r="D12" i="52"/>
  <c r="D55" i="52"/>
  <c r="D18" i="52"/>
  <c r="D15" i="52"/>
  <c r="D17" i="52"/>
  <c r="D13" i="52"/>
  <c r="D20" i="52"/>
  <c r="D42" i="52"/>
  <c r="C5" i="52"/>
  <c r="I4" i="52"/>
  <c r="K4" i="52"/>
  <c r="D46" i="52"/>
  <c r="D28" i="52"/>
  <c r="D27" i="52"/>
  <c r="D26" i="52"/>
  <c r="D25" i="52"/>
  <c r="D24" i="52"/>
  <c r="D19" i="52"/>
  <c r="X5" i="52"/>
  <c r="X4" i="52"/>
  <c r="L4" i="52"/>
  <c r="Q68" i="40"/>
  <c r="Q67" i="40"/>
  <c r="Q66" i="40"/>
  <c r="Q65" i="40"/>
  <c r="Q64" i="40"/>
  <c r="Q63" i="40"/>
  <c r="Q62" i="40"/>
  <c r="Q61" i="40"/>
  <c r="Q60" i="40"/>
  <c r="Q59" i="40"/>
  <c r="Q58" i="40"/>
  <c r="Q57" i="40"/>
  <c r="Q56" i="40"/>
  <c r="Q55" i="40"/>
  <c r="Q54" i="40"/>
  <c r="Q53" i="40"/>
  <c r="Q52" i="40"/>
  <c r="Q51" i="40"/>
  <c r="Q50" i="40"/>
  <c r="Q49" i="40"/>
  <c r="Q48" i="40"/>
  <c r="Q47" i="40"/>
  <c r="Q46" i="40"/>
  <c r="Q45" i="40"/>
  <c r="Q44" i="40"/>
  <c r="Q43" i="40"/>
  <c r="Q42" i="40"/>
  <c r="Q41" i="40"/>
  <c r="Q40" i="40"/>
  <c r="Q39" i="40"/>
  <c r="Q38" i="40"/>
  <c r="Q36" i="40"/>
  <c r="Q35" i="40"/>
  <c r="Q34" i="40"/>
  <c r="Q33" i="40"/>
  <c r="Q32" i="40"/>
  <c r="Q31" i="40"/>
  <c r="Q30" i="40"/>
  <c r="Q29" i="40"/>
  <c r="Q28" i="40"/>
  <c r="Q27" i="40"/>
  <c r="Q26" i="40"/>
  <c r="Q25" i="40"/>
  <c r="Q24" i="40"/>
  <c r="Q23" i="40"/>
  <c r="Q22" i="40"/>
  <c r="Q21" i="40"/>
  <c r="Q20" i="40"/>
  <c r="Q19" i="40"/>
  <c r="Q18" i="40"/>
  <c r="Q16" i="40"/>
  <c r="Q15" i="40"/>
  <c r="Q14" i="40"/>
  <c r="Q13" i="40"/>
  <c r="Q12" i="40"/>
  <c r="Q11" i="40"/>
  <c r="Q10" i="40"/>
  <c r="Q9" i="40"/>
  <c r="Q8" i="40"/>
  <c r="Q7" i="40"/>
  <c r="Q6" i="40"/>
  <c r="Q5" i="40"/>
  <c r="C4" i="40"/>
  <c r="Q37" i="40"/>
  <c r="M68" i="40"/>
  <c r="E68" i="40"/>
  <c r="D68" i="40"/>
  <c r="C68" i="40"/>
  <c r="B68" i="40"/>
  <c r="A68" i="40"/>
  <c r="M67" i="40"/>
  <c r="E67" i="40"/>
  <c r="D67" i="40"/>
  <c r="C67" i="40"/>
  <c r="B67" i="40"/>
  <c r="A67" i="40"/>
  <c r="M66" i="40"/>
  <c r="E66" i="40"/>
  <c r="C66" i="40"/>
  <c r="B66" i="40"/>
  <c r="A66" i="40"/>
  <c r="M65" i="40"/>
  <c r="E65" i="40"/>
  <c r="D65" i="40"/>
  <c r="C65" i="40"/>
  <c r="B65" i="40"/>
  <c r="A65" i="40"/>
  <c r="M64" i="40"/>
  <c r="E64" i="40"/>
  <c r="D64" i="40"/>
  <c r="C64" i="40"/>
  <c r="B64" i="40"/>
  <c r="A64" i="40"/>
  <c r="M63" i="40"/>
  <c r="E63" i="40"/>
  <c r="D63" i="40"/>
  <c r="A63" i="40"/>
  <c r="M62" i="40"/>
  <c r="E62" i="40"/>
  <c r="D62" i="40"/>
  <c r="C62" i="40"/>
  <c r="M61" i="40"/>
  <c r="E61" i="40"/>
  <c r="C61" i="40"/>
  <c r="B61" i="40"/>
  <c r="A61" i="40"/>
  <c r="M60" i="40"/>
  <c r="E60" i="40"/>
  <c r="D60" i="40"/>
  <c r="C60" i="40"/>
  <c r="B60" i="40"/>
  <c r="A60" i="40"/>
  <c r="M59" i="40"/>
  <c r="E59" i="40"/>
  <c r="D59" i="40"/>
  <c r="C59" i="40"/>
  <c r="B59" i="40"/>
  <c r="A59" i="40"/>
  <c r="M58" i="40"/>
  <c r="E58" i="40"/>
  <c r="D58" i="40"/>
  <c r="C58" i="40"/>
  <c r="B58" i="40"/>
  <c r="A58" i="40"/>
  <c r="M57" i="40"/>
  <c r="E57" i="40"/>
  <c r="D57" i="40"/>
  <c r="A57" i="40"/>
  <c r="M56" i="40"/>
  <c r="E56" i="40"/>
  <c r="D56" i="40"/>
  <c r="C56" i="40"/>
  <c r="M55" i="40"/>
  <c r="E55" i="40"/>
  <c r="C55" i="40"/>
  <c r="B55" i="40"/>
  <c r="A55" i="40"/>
  <c r="M54" i="40"/>
  <c r="E54" i="40"/>
  <c r="C54" i="40"/>
  <c r="B54" i="40"/>
  <c r="A54" i="40"/>
  <c r="M53" i="40"/>
  <c r="E53" i="40"/>
  <c r="C53" i="40"/>
  <c r="B53" i="40"/>
  <c r="A53" i="40"/>
  <c r="M52" i="40"/>
  <c r="E52" i="40"/>
  <c r="D52" i="40"/>
  <c r="B52" i="40"/>
  <c r="A52" i="40"/>
  <c r="M51" i="40"/>
  <c r="E51" i="40"/>
  <c r="D51" i="40"/>
  <c r="M50" i="40"/>
  <c r="E50" i="40"/>
  <c r="D50" i="40"/>
  <c r="M49" i="40"/>
  <c r="E49" i="40"/>
  <c r="D49" i="40"/>
  <c r="C49" i="40"/>
  <c r="B49" i="40"/>
  <c r="A49" i="40"/>
  <c r="M48" i="40"/>
  <c r="E48" i="40"/>
  <c r="D48" i="40"/>
  <c r="C48" i="40"/>
  <c r="B48" i="40"/>
  <c r="A48" i="40"/>
  <c r="M47" i="40"/>
  <c r="E47" i="40"/>
  <c r="D47" i="40"/>
  <c r="C47" i="40"/>
  <c r="B47" i="40"/>
  <c r="A47" i="40"/>
  <c r="M46" i="40"/>
  <c r="E46" i="40"/>
  <c r="C46" i="40"/>
  <c r="B46" i="40"/>
  <c r="A46" i="40"/>
  <c r="M45" i="40"/>
  <c r="E45" i="40"/>
  <c r="D45" i="40"/>
  <c r="C45" i="40"/>
  <c r="B45" i="40"/>
  <c r="A45" i="40"/>
  <c r="M44" i="40"/>
  <c r="E44" i="40"/>
  <c r="C44" i="40"/>
  <c r="B44" i="40"/>
  <c r="A44" i="40"/>
  <c r="M43" i="40"/>
  <c r="E43" i="40"/>
  <c r="D43" i="40"/>
  <c r="C43" i="40"/>
  <c r="B43" i="40"/>
  <c r="A43" i="40"/>
  <c r="M42" i="40"/>
  <c r="E42" i="40"/>
  <c r="C42" i="40"/>
  <c r="B42" i="40"/>
  <c r="A42" i="40"/>
  <c r="M41" i="40"/>
  <c r="E41" i="40"/>
  <c r="D41" i="40"/>
  <c r="B41" i="40"/>
  <c r="A41" i="40"/>
  <c r="M40" i="40"/>
  <c r="E40" i="40"/>
  <c r="D40" i="40"/>
  <c r="M39" i="40"/>
  <c r="E39" i="40"/>
  <c r="D39" i="40"/>
  <c r="C39" i="40"/>
  <c r="B39" i="40"/>
  <c r="A39" i="40"/>
  <c r="M38" i="40"/>
  <c r="E38" i="40"/>
  <c r="D38" i="40"/>
  <c r="C38" i="40"/>
  <c r="B38" i="40"/>
  <c r="A38" i="40"/>
  <c r="M37" i="40"/>
  <c r="B37" i="40"/>
  <c r="A37" i="40"/>
  <c r="M36" i="40"/>
  <c r="E36" i="40"/>
  <c r="D36" i="40"/>
  <c r="C36" i="40"/>
  <c r="B36" i="40"/>
  <c r="A36" i="40"/>
  <c r="M35" i="40"/>
  <c r="E35" i="40"/>
  <c r="D35" i="40"/>
  <c r="C35" i="40"/>
  <c r="B35" i="40"/>
  <c r="A35" i="40"/>
  <c r="M34" i="40"/>
  <c r="E34" i="40"/>
  <c r="D34" i="40"/>
  <c r="C34" i="40"/>
  <c r="B34" i="40"/>
  <c r="A34" i="40"/>
  <c r="M33" i="40"/>
  <c r="E33" i="40"/>
  <c r="D33" i="40"/>
  <c r="C33" i="40"/>
  <c r="B33" i="40"/>
  <c r="A33" i="40"/>
  <c r="M32" i="40"/>
  <c r="E32" i="40"/>
  <c r="D32" i="40"/>
  <c r="M31" i="40"/>
  <c r="E31" i="40"/>
  <c r="D31" i="40"/>
  <c r="C31" i="40"/>
  <c r="B31" i="40"/>
  <c r="A31" i="40"/>
  <c r="M30" i="40"/>
  <c r="E30" i="40"/>
  <c r="D30" i="40"/>
  <c r="C30" i="40"/>
  <c r="B30" i="40"/>
  <c r="A30" i="40"/>
  <c r="M29" i="40"/>
  <c r="E29" i="40"/>
  <c r="D29" i="40"/>
  <c r="C29" i="40"/>
  <c r="B29" i="40"/>
  <c r="A29" i="40"/>
  <c r="M28" i="40"/>
  <c r="E28" i="40"/>
  <c r="C28" i="40"/>
  <c r="B28" i="40"/>
  <c r="A28" i="40"/>
  <c r="M27" i="40"/>
  <c r="E27" i="40"/>
  <c r="C27" i="40"/>
  <c r="B27" i="40"/>
  <c r="A27" i="40"/>
  <c r="M26" i="40"/>
  <c r="E26" i="40"/>
  <c r="C26" i="40"/>
  <c r="B26" i="40"/>
  <c r="A26" i="40"/>
  <c r="M25" i="40"/>
  <c r="E25" i="40"/>
  <c r="C25" i="40"/>
  <c r="B25" i="40"/>
  <c r="A25" i="40"/>
  <c r="M24" i="40"/>
  <c r="E24" i="40"/>
  <c r="C24" i="40"/>
  <c r="B24" i="40"/>
  <c r="A24" i="40"/>
  <c r="M23" i="40"/>
  <c r="M22" i="40"/>
  <c r="E22" i="40"/>
  <c r="D22" i="40"/>
  <c r="C22" i="40"/>
  <c r="B22" i="40"/>
  <c r="A22" i="40"/>
  <c r="M21" i="40"/>
  <c r="E21" i="40"/>
  <c r="D21" i="40"/>
  <c r="C21" i="40"/>
  <c r="B21" i="40"/>
  <c r="A21" i="40"/>
  <c r="M20" i="40"/>
  <c r="E20" i="40"/>
  <c r="C20" i="40"/>
  <c r="B20" i="40"/>
  <c r="A20" i="40"/>
  <c r="M19" i="40"/>
  <c r="E19" i="40"/>
  <c r="C19" i="40"/>
  <c r="B19" i="40"/>
  <c r="A19" i="40"/>
  <c r="M18" i="40"/>
  <c r="E18" i="40"/>
  <c r="C18" i="40"/>
  <c r="B18" i="40"/>
  <c r="A18" i="40"/>
  <c r="B17" i="40"/>
  <c r="A17" i="40"/>
  <c r="M16" i="40"/>
  <c r="D16" i="40"/>
  <c r="M15" i="40"/>
  <c r="E15" i="40"/>
  <c r="C15" i="40"/>
  <c r="B15" i="40"/>
  <c r="A15" i="40"/>
  <c r="M14" i="40"/>
  <c r="E14" i="40"/>
  <c r="C14" i="40"/>
  <c r="B14" i="40"/>
  <c r="A14" i="40"/>
  <c r="M13" i="40"/>
  <c r="E13" i="40"/>
  <c r="C13" i="40"/>
  <c r="B13" i="40"/>
  <c r="A13" i="40"/>
  <c r="M12" i="40"/>
  <c r="E12" i="40"/>
  <c r="C12" i="40"/>
  <c r="B12" i="40"/>
  <c r="A12" i="40"/>
  <c r="M11" i="40"/>
  <c r="D11" i="40"/>
  <c r="B11" i="40"/>
  <c r="A11" i="40"/>
  <c r="M10" i="40"/>
  <c r="D10" i="40"/>
  <c r="M9" i="40"/>
  <c r="E9" i="40"/>
  <c r="C9" i="40"/>
  <c r="B9" i="40"/>
  <c r="A9" i="40"/>
  <c r="E8" i="40"/>
  <c r="C8" i="40"/>
  <c r="B8" i="40"/>
  <c r="A8" i="40"/>
  <c r="M7" i="40"/>
  <c r="E7" i="40"/>
  <c r="C7" i="40"/>
  <c r="B7" i="40"/>
  <c r="A7" i="40"/>
  <c r="M6" i="40"/>
  <c r="E6" i="40"/>
  <c r="C6" i="40"/>
  <c r="B6" i="40"/>
  <c r="A6" i="40"/>
  <c r="M5" i="40"/>
  <c r="B5" i="40"/>
  <c r="A5" i="40"/>
  <c r="B2" i="40"/>
  <c r="G8" i="40"/>
  <c r="M8" i="40"/>
  <c r="Q17" i="40"/>
  <c r="S37" i="40"/>
  <c r="V5" i="40"/>
  <c r="V7" i="40"/>
  <c r="V9" i="40"/>
  <c r="V11" i="40"/>
  <c r="V13" i="40"/>
  <c r="V15" i="40"/>
  <c r="V17" i="40"/>
  <c r="V19" i="40"/>
  <c r="V21" i="40"/>
  <c r="V23" i="40"/>
  <c r="V25" i="40"/>
  <c r="V28" i="40"/>
  <c r="R32" i="40"/>
  <c r="R36" i="40"/>
  <c r="S6" i="40"/>
  <c r="S8" i="40"/>
  <c r="S10" i="40"/>
  <c r="S12" i="40"/>
  <c r="S14" i="40"/>
  <c r="S16" i="40"/>
  <c r="S18" i="40"/>
  <c r="S20" i="40"/>
  <c r="S22" i="40"/>
  <c r="S24" i="40"/>
  <c r="S26" i="40"/>
  <c r="W28" i="40"/>
  <c r="V31" i="40"/>
  <c r="V35" i="40"/>
  <c r="X7" i="40"/>
  <c r="X9" i="40"/>
  <c r="X11" i="40"/>
  <c r="X13" i="40"/>
  <c r="X15" i="40"/>
  <c r="X17" i="40"/>
  <c r="X19" i="40"/>
  <c r="X21" i="40"/>
  <c r="X23" i="40"/>
  <c r="X25" i="40"/>
  <c r="V29" i="40"/>
  <c r="S33" i="40"/>
  <c r="X68" i="40"/>
  <c r="X66" i="40"/>
  <c r="X64" i="40"/>
  <c r="X62" i="40"/>
  <c r="X60" i="40"/>
  <c r="X58" i="40"/>
  <c r="X56" i="40"/>
  <c r="X54" i="40"/>
  <c r="X52" i="40"/>
  <c r="X50" i="40"/>
  <c r="X48" i="40"/>
  <c r="X46" i="40"/>
  <c r="X44" i="40"/>
  <c r="X42" i="40"/>
  <c r="X40" i="40"/>
  <c r="X38" i="40"/>
  <c r="X36" i="40"/>
  <c r="X34" i="40"/>
  <c r="X32" i="40"/>
  <c r="X30" i="40"/>
  <c r="X28" i="40"/>
  <c r="X26" i="40"/>
  <c r="S67" i="40"/>
  <c r="S65" i="40"/>
  <c r="S63" i="40"/>
  <c r="S61" i="40"/>
  <c r="S59" i="40"/>
  <c r="S57" i="40"/>
  <c r="S55" i="40"/>
  <c r="S53" i="40"/>
  <c r="S51" i="40"/>
  <c r="S49" i="40"/>
  <c r="S47" i="40"/>
  <c r="S45" i="40"/>
  <c r="S43" i="40"/>
  <c r="S41" i="40"/>
  <c r="S39" i="40"/>
  <c r="R68" i="40"/>
  <c r="R66" i="40"/>
  <c r="R64" i="40"/>
  <c r="R62" i="40"/>
  <c r="R60" i="40"/>
  <c r="R58" i="40"/>
  <c r="R6" i="40"/>
  <c r="R8" i="40"/>
  <c r="R10" i="40"/>
  <c r="R12" i="40"/>
  <c r="R14" i="40"/>
  <c r="R16" i="40"/>
  <c r="R18" i="40"/>
  <c r="R20" i="40"/>
  <c r="R22" i="40"/>
  <c r="R24" i="40"/>
  <c r="R26" i="40"/>
  <c r="S29" i="40"/>
  <c r="W33" i="40"/>
  <c r="W37" i="40"/>
  <c r="W6" i="40"/>
  <c r="W8" i="40"/>
  <c r="W10" i="40"/>
  <c r="W12" i="40"/>
  <c r="W14" i="40"/>
  <c r="W16" i="40"/>
  <c r="W18" i="40"/>
  <c r="W20" i="40"/>
  <c r="W22" i="40"/>
  <c r="W24" i="40"/>
  <c r="W26" i="40"/>
  <c r="U29" i="40"/>
  <c r="S32" i="40"/>
  <c r="S36" i="40"/>
  <c r="T6" i="40"/>
  <c r="T8" i="40"/>
  <c r="T10" i="40"/>
  <c r="T12" i="40"/>
  <c r="T14" i="40"/>
  <c r="T16" i="40"/>
  <c r="T18" i="40"/>
  <c r="T20" i="40"/>
  <c r="T22" i="40"/>
  <c r="T24" i="40"/>
  <c r="T26" i="40"/>
  <c r="S30" i="40"/>
  <c r="R34" i="40"/>
  <c r="T68" i="40"/>
  <c r="T66" i="40"/>
  <c r="T64" i="40"/>
  <c r="T62" i="40"/>
  <c r="T60" i="40"/>
  <c r="T58" i="40"/>
  <c r="T56" i="40"/>
  <c r="T54" i="40"/>
  <c r="T52" i="40"/>
  <c r="T50" i="40"/>
  <c r="T48" i="40"/>
  <c r="T46" i="40"/>
  <c r="T44" i="40"/>
  <c r="T42" i="40"/>
  <c r="T40" i="40"/>
  <c r="T38" i="40"/>
  <c r="T36" i="40"/>
  <c r="T34" i="40"/>
  <c r="T32" i="40"/>
  <c r="T30" i="40"/>
  <c r="T28" i="40"/>
  <c r="W68" i="40"/>
  <c r="W66" i="40"/>
  <c r="W64" i="40"/>
  <c r="W62" i="40"/>
  <c r="W60" i="40"/>
  <c r="W58" i="40"/>
  <c r="W56" i="40"/>
  <c r="W54" i="40"/>
  <c r="W52" i="40"/>
  <c r="W50" i="40"/>
  <c r="W48" i="40"/>
  <c r="W46" i="40"/>
  <c r="W44" i="40"/>
  <c r="W42" i="40"/>
  <c r="W40" i="40"/>
  <c r="V6" i="40"/>
  <c r="V8" i="40"/>
  <c r="V10" i="40"/>
  <c r="V12" i="40"/>
  <c r="V14" i="40"/>
  <c r="V16" i="40"/>
  <c r="V18" i="40"/>
  <c r="V20" i="40"/>
  <c r="V22" i="40"/>
  <c r="V24" i="40"/>
  <c r="V26" i="40"/>
  <c r="V30" i="40"/>
  <c r="V34" i="40"/>
  <c r="S5" i="40"/>
  <c r="S7" i="40"/>
  <c r="S9" i="40"/>
  <c r="S11" i="40"/>
  <c r="S13" i="40"/>
  <c r="S15" i="40"/>
  <c r="S17" i="40"/>
  <c r="S19" i="40"/>
  <c r="S21" i="40"/>
  <c r="S23" i="40"/>
  <c r="S25" i="40"/>
  <c r="U27" i="40"/>
  <c r="R30" i="40"/>
  <c r="R33" i="40"/>
  <c r="R37" i="40"/>
  <c r="X6" i="40"/>
  <c r="X8" i="40"/>
  <c r="X10" i="40"/>
  <c r="X12" i="40"/>
  <c r="X14" i="40"/>
  <c r="X16" i="40"/>
  <c r="X18" i="40"/>
  <c r="X20" i="40"/>
  <c r="X22" i="40"/>
  <c r="X24" i="40"/>
  <c r="V27" i="40"/>
  <c r="W31" i="40"/>
  <c r="W35" i="40"/>
  <c r="X67" i="40"/>
  <c r="X65" i="40"/>
  <c r="X63" i="40"/>
  <c r="X61" i="40"/>
  <c r="X59" i="40"/>
  <c r="X57" i="40"/>
  <c r="X55" i="40"/>
  <c r="X53" i="40"/>
  <c r="X51" i="40"/>
  <c r="X49" i="40"/>
  <c r="X47" i="40"/>
  <c r="X45" i="40"/>
  <c r="X43" i="40"/>
  <c r="X41" i="40"/>
  <c r="X39" i="40"/>
  <c r="X37" i="40"/>
  <c r="X35" i="40"/>
  <c r="X33" i="40"/>
  <c r="X31" i="40"/>
  <c r="X29" i="40"/>
  <c r="X27" i="40"/>
  <c r="S68" i="40"/>
  <c r="S66" i="40"/>
  <c r="S64" i="40"/>
  <c r="S62" i="40"/>
  <c r="S60" i="40"/>
  <c r="S58" i="40"/>
  <c r="S56" i="40"/>
  <c r="S54" i="40"/>
  <c r="S52" i="40"/>
  <c r="S50" i="40"/>
  <c r="S48" i="40"/>
  <c r="S46" i="40"/>
  <c r="S44" i="40"/>
  <c r="S42" i="40"/>
  <c r="S40" i="40"/>
  <c r="R5" i="40"/>
  <c r="R7" i="40"/>
  <c r="R9" i="40"/>
  <c r="R11" i="40"/>
  <c r="R13" i="40"/>
  <c r="R15" i="40"/>
  <c r="R17" i="40"/>
  <c r="R19" i="40"/>
  <c r="R21" i="40"/>
  <c r="R23" i="40"/>
  <c r="R25" i="40"/>
  <c r="S27" i="40"/>
  <c r="S31" i="40"/>
  <c r="S35" i="40"/>
  <c r="W5" i="40"/>
  <c r="W7" i="40"/>
  <c r="W9" i="40"/>
  <c r="W11" i="40"/>
  <c r="W13" i="40"/>
  <c r="W15" i="40"/>
  <c r="W17" i="40"/>
  <c r="W19" i="40"/>
  <c r="W21" i="40"/>
  <c r="W23" i="40"/>
  <c r="W25" i="40"/>
  <c r="R28" i="40"/>
  <c r="W30" i="40"/>
  <c r="W34" i="40"/>
  <c r="T5" i="40"/>
  <c r="T7" i="40"/>
  <c r="T9" i="40"/>
  <c r="T11" i="40"/>
  <c r="T13" i="40"/>
  <c r="T15" i="40"/>
  <c r="T17" i="40"/>
  <c r="T19" i="40"/>
  <c r="T21" i="40"/>
  <c r="T23" i="40"/>
  <c r="T25" i="40"/>
  <c r="S28" i="40"/>
  <c r="V32" i="40"/>
  <c r="V36" i="40"/>
  <c r="T67" i="40"/>
  <c r="T65" i="40"/>
  <c r="T63" i="40"/>
  <c r="T61" i="40"/>
  <c r="T59" i="40"/>
  <c r="T57" i="40"/>
  <c r="T55" i="40"/>
  <c r="T53" i="40"/>
  <c r="T51" i="40"/>
  <c r="T49" i="40"/>
  <c r="T47" i="40"/>
  <c r="T45" i="40"/>
  <c r="T43" i="40"/>
  <c r="T41" i="40"/>
  <c r="T39" i="40"/>
  <c r="T37" i="40"/>
  <c r="T35" i="40"/>
  <c r="T33" i="40"/>
  <c r="T31" i="40"/>
  <c r="T29" i="40"/>
  <c r="T27" i="40"/>
  <c r="W67" i="40"/>
  <c r="W65" i="40"/>
  <c r="W63" i="40"/>
  <c r="W61" i="40"/>
  <c r="W59" i="40"/>
  <c r="W57" i="40"/>
  <c r="W55" i="40"/>
  <c r="W53" i="40"/>
  <c r="W51" i="40"/>
  <c r="W49" i="40"/>
  <c r="W47" i="40"/>
  <c r="W45" i="40"/>
  <c r="W43" i="40"/>
  <c r="W41" i="40"/>
  <c r="W39" i="40"/>
  <c r="V68" i="40"/>
  <c r="V67" i="40"/>
  <c r="R65" i="40"/>
  <c r="V62" i="40"/>
  <c r="V59" i="40"/>
  <c r="R57" i="40"/>
  <c r="R55" i="40"/>
  <c r="R53" i="40"/>
  <c r="R51" i="40"/>
  <c r="R49" i="40"/>
  <c r="R47" i="40"/>
  <c r="R45" i="40"/>
  <c r="R43" i="40"/>
  <c r="R41" i="40"/>
  <c r="R39" i="40"/>
  <c r="U67" i="40"/>
  <c r="U63" i="40"/>
  <c r="U59" i="40"/>
  <c r="U55" i="40"/>
  <c r="U51" i="40"/>
  <c r="U47" i="40"/>
  <c r="U43" i="40"/>
  <c r="U39" i="40"/>
  <c r="U35" i="40"/>
  <c r="U31" i="40"/>
  <c r="U8" i="40"/>
  <c r="U12" i="40"/>
  <c r="U16" i="40"/>
  <c r="U20" i="40"/>
  <c r="U24" i="40"/>
  <c r="W27" i="40"/>
  <c r="U30" i="40"/>
  <c r="S34" i="40"/>
  <c r="R67" i="40"/>
  <c r="V64" i="40"/>
  <c r="V61" i="40"/>
  <c r="R59" i="40"/>
  <c r="V56" i="40"/>
  <c r="V54" i="40"/>
  <c r="V52" i="40"/>
  <c r="V50" i="40"/>
  <c r="V48" i="40"/>
  <c r="V46" i="40"/>
  <c r="V44" i="40"/>
  <c r="V42" i="40"/>
  <c r="V40" i="40"/>
  <c r="V38" i="40"/>
  <c r="U66" i="40"/>
  <c r="U62" i="40"/>
  <c r="U58" i="40"/>
  <c r="U54" i="40"/>
  <c r="U50" i="40"/>
  <c r="U46" i="40"/>
  <c r="U42" i="40"/>
  <c r="U38" i="40"/>
  <c r="U34" i="40"/>
  <c r="U5" i="40"/>
  <c r="U9" i="40"/>
  <c r="U13" i="40"/>
  <c r="U17" i="40"/>
  <c r="U21" i="40"/>
  <c r="U25" i="40"/>
  <c r="U28" i="40"/>
  <c r="R31" i="40"/>
  <c r="R35" i="40"/>
  <c r="W38" i="40"/>
  <c r="V66" i="40"/>
  <c r="V63" i="40"/>
  <c r="R61" i="40"/>
  <c r="V58" i="40"/>
  <c r="R56" i="40"/>
  <c r="R54" i="40"/>
  <c r="R52" i="40"/>
  <c r="R50" i="40"/>
  <c r="R48" i="40"/>
  <c r="R46" i="40"/>
  <c r="R44" i="40"/>
  <c r="R42" i="40"/>
  <c r="R40" i="40"/>
  <c r="R38" i="40"/>
  <c r="U65" i="40"/>
  <c r="U61" i="40"/>
  <c r="U57" i="40"/>
  <c r="U53" i="40"/>
  <c r="U49" i="40"/>
  <c r="U45" i="40"/>
  <c r="U41" i="40"/>
  <c r="U37" i="40"/>
  <c r="U33" i="40"/>
  <c r="U6" i="40"/>
  <c r="U10" i="40"/>
  <c r="U14" i="40"/>
  <c r="U18" i="40"/>
  <c r="U22" i="40"/>
  <c r="U26" i="40"/>
  <c r="R29" i="40"/>
  <c r="W32" i="40"/>
  <c r="W36" i="40"/>
  <c r="S38" i="40"/>
  <c r="V65" i="40"/>
  <c r="R63" i="40"/>
  <c r="V60" i="40"/>
  <c r="V57" i="40"/>
  <c r="V55" i="40"/>
  <c r="V53" i="40"/>
  <c r="V51" i="40"/>
  <c r="V49" i="40"/>
  <c r="V47" i="40"/>
  <c r="V45" i="40"/>
  <c r="V43" i="40"/>
  <c r="V41" i="40"/>
  <c r="V39" i="40"/>
  <c r="U68" i="40"/>
  <c r="U64" i="40"/>
  <c r="U60" i="40"/>
  <c r="U56" i="40"/>
  <c r="U52" i="40"/>
  <c r="U48" i="40"/>
  <c r="U44" i="40"/>
  <c r="U40" i="40"/>
  <c r="U36" i="40"/>
  <c r="U32" i="40"/>
  <c r="U7" i="40"/>
  <c r="U11" i="40"/>
  <c r="U15" i="40"/>
  <c r="U19" i="40"/>
  <c r="U23" i="40"/>
  <c r="R27" i="40"/>
  <c r="W29" i="40"/>
  <c r="V33" i="40"/>
  <c r="V37" i="40"/>
  <c r="M17" i="40"/>
  <c r="W4" i="40"/>
  <c r="M4" i="40"/>
  <c r="D7" i="40"/>
  <c r="D6" i="40"/>
  <c r="D9" i="40"/>
  <c r="D54" i="40"/>
  <c r="D53" i="40"/>
  <c r="D44" i="40"/>
  <c r="D55" i="40"/>
  <c r="D66" i="40"/>
  <c r="D13" i="40"/>
  <c r="D61" i="40"/>
  <c r="D18" i="40"/>
  <c r="D20" i="40"/>
  <c r="D12" i="40"/>
  <c r="D15" i="40"/>
  <c r="C5" i="40"/>
  <c r="I4" i="40"/>
  <c r="K4" i="40"/>
  <c r="D19" i="40"/>
  <c r="D14" i="40"/>
  <c r="D25" i="40"/>
  <c r="D24" i="40"/>
  <c r="D27" i="40"/>
  <c r="D42" i="40"/>
  <c r="D46" i="40"/>
  <c r="D28" i="40"/>
  <c r="D26" i="40"/>
  <c r="L4" i="40"/>
  <c r="X5" i="40"/>
  <c r="X4" i="40"/>
  <c r="Q68" i="36"/>
  <c r="Q67" i="36"/>
  <c r="Q66" i="36"/>
  <c r="Q65" i="36"/>
  <c r="Q64" i="36"/>
  <c r="Q63" i="36"/>
  <c r="Q62" i="36"/>
  <c r="Q61" i="36"/>
  <c r="Q60" i="36"/>
  <c r="Q59" i="36"/>
  <c r="Q58" i="36"/>
  <c r="Q57" i="36"/>
  <c r="Q56" i="36"/>
  <c r="Q55" i="36"/>
  <c r="Q54" i="36"/>
  <c r="Q53" i="36"/>
  <c r="Q52" i="36"/>
  <c r="Q51" i="36"/>
  <c r="Q50" i="36"/>
  <c r="Q49" i="36"/>
  <c r="Q48" i="36"/>
  <c r="Q47" i="36"/>
  <c r="Q46" i="36"/>
  <c r="Q45" i="36"/>
  <c r="Q44" i="36"/>
  <c r="Q43" i="36"/>
  <c r="Q42" i="36"/>
  <c r="Q41" i="36"/>
  <c r="Q40" i="36"/>
  <c r="Q39" i="36"/>
  <c r="Q38" i="36"/>
  <c r="Q36" i="36"/>
  <c r="Q35" i="36"/>
  <c r="Q34" i="36"/>
  <c r="Q33" i="36"/>
  <c r="Q32" i="36"/>
  <c r="Q31" i="36"/>
  <c r="Q30" i="36"/>
  <c r="Q29" i="36"/>
  <c r="Q28" i="36"/>
  <c r="Q27" i="36"/>
  <c r="Q26" i="36"/>
  <c r="Q25" i="36"/>
  <c r="Q24" i="36"/>
  <c r="Q23" i="36"/>
  <c r="Q22" i="36"/>
  <c r="Q21" i="36"/>
  <c r="Q20" i="36"/>
  <c r="Q19" i="36"/>
  <c r="Q18" i="36"/>
  <c r="Q17" i="36"/>
  <c r="Q16" i="36"/>
  <c r="Q15" i="36"/>
  <c r="Q14" i="36"/>
  <c r="Q13" i="36"/>
  <c r="Q11" i="36"/>
  <c r="Q10" i="36"/>
  <c r="Q9" i="36"/>
  <c r="Q8" i="36"/>
  <c r="Q7" i="36"/>
  <c r="Q6" i="36"/>
  <c r="Q5" i="36"/>
  <c r="C4" i="36"/>
  <c r="Q37" i="36"/>
  <c r="M68" i="36"/>
  <c r="E68" i="36"/>
  <c r="D68" i="36"/>
  <c r="C68" i="36"/>
  <c r="B68" i="36"/>
  <c r="A68" i="36"/>
  <c r="M67" i="36"/>
  <c r="E67" i="36"/>
  <c r="D67" i="36"/>
  <c r="C67" i="36"/>
  <c r="B67" i="36"/>
  <c r="A67" i="36"/>
  <c r="M66" i="36"/>
  <c r="E66" i="36"/>
  <c r="C66" i="36"/>
  <c r="B66" i="36"/>
  <c r="A66" i="36"/>
  <c r="M65" i="36"/>
  <c r="E65" i="36"/>
  <c r="D65" i="36"/>
  <c r="C65" i="36"/>
  <c r="B65" i="36"/>
  <c r="A65" i="36"/>
  <c r="M64" i="36"/>
  <c r="E64" i="36"/>
  <c r="D64" i="36"/>
  <c r="C64" i="36"/>
  <c r="B64" i="36"/>
  <c r="A64" i="36"/>
  <c r="M63" i="36"/>
  <c r="E63" i="36"/>
  <c r="D63" i="36"/>
  <c r="A63" i="36"/>
  <c r="M62" i="36"/>
  <c r="E62" i="36"/>
  <c r="D62" i="36"/>
  <c r="C62" i="36"/>
  <c r="M61" i="36"/>
  <c r="E61" i="36"/>
  <c r="C61" i="36"/>
  <c r="B61" i="36"/>
  <c r="A61" i="36"/>
  <c r="M60" i="36"/>
  <c r="E60" i="36"/>
  <c r="D60" i="36"/>
  <c r="C60" i="36"/>
  <c r="B60" i="36"/>
  <c r="A60" i="36"/>
  <c r="M59" i="36"/>
  <c r="E59" i="36"/>
  <c r="D59" i="36"/>
  <c r="C59" i="36"/>
  <c r="B59" i="36"/>
  <c r="A59" i="36"/>
  <c r="M58" i="36"/>
  <c r="E58" i="36"/>
  <c r="D58" i="36"/>
  <c r="C58" i="36"/>
  <c r="B58" i="36"/>
  <c r="A58" i="36"/>
  <c r="M57" i="36"/>
  <c r="E57" i="36"/>
  <c r="D57" i="36"/>
  <c r="A57" i="36"/>
  <c r="M56" i="36"/>
  <c r="E56" i="36"/>
  <c r="D56" i="36"/>
  <c r="C56" i="36"/>
  <c r="M55" i="36"/>
  <c r="E55" i="36"/>
  <c r="C55" i="36"/>
  <c r="B55" i="36"/>
  <c r="A55" i="36"/>
  <c r="M54" i="36"/>
  <c r="E54" i="36"/>
  <c r="C54" i="36"/>
  <c r="B54" i="36"/>
  <c r="A54" i="36"/>
  <c r="M53" i="36"/>
  <c r="E53" i="36"/>
  <c r="C53" i="36"/>
  <c r="B53" i="36"/>
  <c r="A53" i="36"/>
  <c r="M52" i="36"/>
  <c r="E52" i="36"/>
  <c r="D52" i="36"/>
  <c r="B52" i="36"/>
  <c r="A52" i="36"/>
  <c r="M51" i="36"/>
  <c r="E51" i="36"/>
  <c r="D51" i="36"/>
  <c r="M50" i="36"/>
  <c r="E50" i="36"/>
  <c r="D50" i="36"/>
  <c r="M49" i="36"/>
  <c r="E49" i="36"/>
  <c r="D49" i="36"/>
  <c r="C49" i="36"/>
  <c r="B49" i="36"/>
  <c r="A49" i="36"/>
  <c r="M48" i="36"/>
  <c r="E48" i="36"/>
  <c r="D48" i="36"/>
  <c r="C48" i="36"/>
  <c r="B48" i="36"/>
  <c r="A48" i="36"/>
  <c r="M47" i="36"/>
  <c r="E47" i="36"/>
  <c r="D47" i="36"/>
  <c r="C47" i="36"/>
  <c r="B47" i="36"/>
  <c r="A47" i="36"/>
  <c r="M46" i="36"/>
  <c r="E46" i="36"/>
  <c r="C46" i="36"/>
  <c r="B46" i="36"/>
  <c r="A46" i="36"/>
  <c r="M45" i="36"/>
  <c r="E45" i="36"/>
  <c r="D45" i="36"/>
  <c r="C45" i="36"/>
  <c r="B45" i="36"/>
  <c r="A45" i="36"/>
  <c r="M44" i="36"/>
  <c r="E44" i="36"/>
  <c r="C44" i="36"/>
  <c r="B44" i="36"/>
  <c r="A44" i="36"/>
  <c r="M43" i="36"/>
  <c r="E43" i="36"/>
  <c r="D43" i="36"/>
  <c r="C43" i="36"/>
  <c r="B43" i="36"/>
  <c r="A43" i="36"/>
  <c r="M42" i="36"/>
  <c r="E42" i="36"/>
  <c r="C42" i="36"/>
  <c r="B42" i="36"/>
  <c r="A42" i="36"/>
  <c r="M41" i="36"/>
  <c r="E41" i="36"/>
  <c r="D41" i="36"/>
  <c r="B41" i="36"/>
  <c r="A41" i="36"/>
  <c r="M40" i="36"/>
  <c r="E40" i="36"/>
  <c r="D40" i="36"/>
  <c r="M39" i="36"/>
  <c r="E39" i="36"/>
  <c r="D39" i="36"/>
  <c r="C39" i="36"/>
  <c r="B39" i="36"/>
  <c r="A39" i="36"/>
  <c r="M38" i="36"/>
  <c r="E38" i="36"/>
  <c r="D38" i="36"/>
  <c r="C38" i="36"/>
  <c r="B38" i="36"/>
  <c r="A38" i="36"/>
  <c r="M37" i="36"/>
  <c r="B37" i="36"/>
  <c r="A37" i="36"/>
  <c r="M36" i="36"/>
  <c r="E36" i="36"/>
  <c r="D36" i="36"/>
  <c r="C36" i="36"/>
  <c r="B36" i="36"/>
  <c r="A36" i="36"/>
  <c r="M35" i="36"/>
  <c r="E35" i="36"/>
  <c r="D35" i="36"/>
  <c r="C35" i="36"/>
  <c r="B35" i="36"/>
  <c r="A35" i="36"/>
  <c r="M34" i="36"/>
  <c r="E34" i="36"/>
  <c r="D34" i="36"/>
  <c r="C34" i="36"/>
  <c r="B34" i="36"/>
  <c r="A34" i="36"/>
  <c r="M33" i="36"/>
  <c r="E33" i="36"/>
  <c r="D33" i="36"/>
  <c r="C33" i="36"/>
  <c r="B33" i="36"/>
  <c r="A33" i="36"/>
  <c r="M32" i="36"/>
  <c r="E32" i="36"/>
  <c r="D32" i="36"/>
  <c r="M31" i="36"/>
  <c r="E31" i="36"/>
  <c r="D31" i="36"/>
  <c r="C31" i="36"/>
  <c r="B31" i="36"/>
  <c r="A31" i="36"/>
  <c r="M30" i="36"/>
  <c r="E30" i="36"/>
  <c r="D30" i="36"/>
  <c r="C30" i="36"/>
  <c r="B30" i="36"/>
  <c r="A30" i="36"/>
  <c r="M29" i="36"/>
  <c r="E29" i="36"/>
  <c r="D29" i="36"/>
  <c r="C29" i="36"/>
  <c r="B29" i="36"/>
  <c r="A29" i="36"/>
  <c r="M28" i="36"/>
  <c r="E28" i="36"/>
  <c r="C28" i="36"/>
  <c r="B28" i="36"/>
  <c r="A28" i="36"/>
  <c r="M27" i="36"/>
  <c r="E27" i="36"/>
  <c r="C27" i="36"/>
  <c r="B27" i="36"/>
  <c r="A27" i="36"/>
  <c r="M26" i="36"/>
  <c r="E26" i="36"/>
  <c r="C26" i="36"/>
  <c r="B26" i="36"/>
  <c r="A26" i="36"/>
  <c r="M25" i="36"/>
  <c r="E25" i="36"/>
  <c r="C25" i="36"/>
  <c r="B25" i="36"/>
  <c r="A25" i="36"/>
  <c r="M24" i="36"/>
  <c r="E24" i="36"/>
  <c r="C24" i="36"/>
  <c r="B24" i="36"/>
  <c r="A24" i="36"/>
  <c r="M23" i="36"/>
  <c r="M22" i="36"/>
  <c r="E22" i="36"/>
  <c r="D22" i="36"/>
  <c r="C22" i="36"/>
  <c r="B22" i="36"/>
  <c r="A22" i="36"/>
  <c r="M21" i="36"/>
  <c r="E21" i="36"/>
  <c r="D21" i="36"/>
  <c r="C21" i="36"/>
  <c r="B21" i="36"/>
  <c r="A21" i="36"/>
  <c r="M20" i="36"/>
  <c r="E20" i="36"/>
  <c r="C20" i="36"/>
  <c r="B20" i="36"/>
  <c r="A20" i="36"/>
  <c r="M19" i="36"/>
  <c r="E19" i="36"/>
  <c r="C19" i="36"/>
  <c r="B19" i="36"/>
  <c r="A19" i="36"/>
  <c r="M18" i="36"/>
  <c r="E18" i="36"/>
  <c r="C18" i="36"/>
  <c r="B18" i="36"/>
  <c r="A18" i="36"/>
  <c r="M17" i="36"/>
  <c r="E17" i="36"/>
  <c r="C17" i="36"/>
  <c r="B17" i="36"/>
  <c r="A17" i="36"/>
  <c r="M16" i="36"/>
  <c r="D16" i="36"/>
  <c r="M15" i="36"/>
  <c r="E15" i="36"/>
  <c r="C15" i="36"/>
  <c r="B15" i="36"/>
  <c r="A15" i="36"/>
  <c r="M14" i="36"/>
  <c r="E14" i="36"/>
  <c r="C14" i="36"/>
  <c r="B14" i="36"/>
  <c r="A14" i="36"/>
  <c r="M13" i="36"/>
  <c r="E13" i="36"/>
  <c r="C13" i="36"/>
  <c r="B13" i="36"/>
  <c r="A13" i="36"/>
  <c r="B12" i="36"/>
  <c r="A12" i="36"/>
  <c r="M11" i="36"/>
  <c r="D11" i="36"/>
  <c r="B11" i="36"/>
  <c r="A11" i="36"/>
  <c r="M10" i="36"/>
  <c r="D10" i="36"/>
  <c r="M9" i="36"/>
  <c r="E9" i="36"/>
  <c r="C9" i="36"/>
  <c r="B9" i="36"/>
  <c r="A9" i="36"/>
  <c r="E8" i="36"/>
  <c r="C8" i="36"/>
  <c r="M8" i="36"/>
  <c r="B8" i="36"/>
  <c r="A8" i="36"/>
  <c r="M7" i="36"/>
  <c r="E7" i="36"/>
  <c r="C7" i="36"/>
  <c r="B7" i="36"/>
  <c r="A7" i="36"/>
  <c r="M6" i="36"/>
  <c r="E6" i="36"/>
  <c r="C6" i="36"/>
  <c r="B6" i="36"/>
  <c r="A6" i="36"/>
  <c r="M5" i="36"/>
  <c r="B5" i="36"/>
  <c r="A5" i="36"/>
  <c r="B2" i="36"/>
  <c r="Q12" i="36"/>
  <c r="V35" i="36"/>
  <c r="X7" i="36"/>
  <c r="X9" i="36"/>
  <c r="X11" i="36"/>
  <c r="X13" i="36"/>
  <c r="X15" i="36"/>
  <c r="X17" i="36"/>
  <c r="X19" i="36"/>
  <c r="X21" i="36"/>
  <c r="X23" i="36"/>
  <c r="X25" i="36"/>
  <c r="V29" i="36"/>
  <c r="R33" i="36"/>
  <c r="X67" i="36"/>
  <c r="X65" i="36"/>
  <c r="X63" i="36"/>
  <c r="X61" i="36"/>
  <c r="X59" i="36"/>
  <c r="X57" i="36"/>
  <c r="X55" i="36"/>
  <c r="X53" i="36"/>
  <c r="X51" i="36"/>
  <c r="X49" i="36"/>
  <c r="X47" i="36"/>
  <c r="X45" i="36"/>
  <c r="X43" i="36"/>
  <c r="X41" i="36"/>
  <c r="X39" i="36"/>
  <c r="X37" i="36"/>
  <c r="X35" i="36"/>
  <c r="X33" i="36"/>
  <c r="X31" i="36"/>
  <c r="X29" i="36"/>
  <c r="X27" i="36"/>
  <c r="S68" i="36"/>
  <c r="S66" i="36"/>
  <c r="S64" i="36"/>
  <c r="S62" i="36"/>
  <c r="S60" i="36"/>
  <c r="S58" i="36"/>
  <c r="S56" i="36"/>
  <c r="S54" i="36"/>
  <c r="S52" i="36"/>
  <c r="S50" i="36"/>
  <c r="S48" i="36"/>
  <c r="S46" i="36"/>
  <c r="S44" i="36"/>
  <c r="S42" i="36"/>
  <c r="S40" i="36"/>
  <c r="S38" i="36"/>
  <c r="V68" i="36"/>
  <c r="V66" i="36"/>
  <c r="V64" i="36"/>
  <c r="V62" i="36"/>
  <c r="V60" i="36"/>
  <c r="V58" i="36"/>
  <c r="V56" i="36"/>
  <c r="V54" i="36"/>
  <c r="V52" i="36"/>
  <c r="V50" i="36"/>
  <c r="V48" i="36"/>
  <c r="V46" i="36"/>
  <c r="V44" i="36"/>
  <c r="V42" i="36"/>
  <c r="V40" i="36"/>
  <c r="V38" i="36"/>
  <c r="V36" i="36"/>
  <c r="U66" i="36"/>
  <c r="U62" i="36"/>
  <c r="U58" i="36"/>
  <c r="U54" i="36"/>
  <c r="U50" i="36"/>
  <c r="U46" i="36"/>
  <c r="U42" i="36"/>
  <c r="U38" i="36"/>
  <c r="U34" i="36"/>
  <c r="U6" i="36"/>
  <c r="U10" i="36"/>
  <c r="U14" i="36"/>
  <c r="U18" i="36"/>
  <c r="U22" i="36"/>
  <c r="U26" i="36"/>
  <c r="R29" i="36"/>
  <c r="W31" i="36"/>
  <c r="R6" i="36"/>
  <c r="T6" i="36"/>
  <c r="T8" i="36"/>
  <c r="T10" i="36"/>
  <c r="T12" i="36"/>
  <c r="T14" i="36"/>
  <c r="T16" i="36"/>
  <c r="T18" i="36"/>
  <c r="T20" i="36"/>
  <c r="T22" i="36"/>
  <c r="T24" i="36"/>
  <c r="T26" i="36"/>
  <c r="S30" i="36"/>
  <c r="W34" i="36"/>
  <c r="T67" i="36"/>
  <c r="T65" i="36"/>
  <c r="T63" i="36"/>
  <c r="T61" i="36"/>
  <c r="T59" i="36"/>
  <c r="T57" i="36"/>
  <c r="T55" i="36"/>
  <c r="T53" i="36"/>
  <c r="T51" i="36"/>
  <c r="T49" i="36"/>
  <c r="T47" i="36"/>
  <c r="T45" i="36"/>
  <c r="T43" i="36"/>
  <c r="T41" i="36"/>
  <c r="T39" i="36"/>
  <c r="T37" i="36"/>
  <c r="T35" i="36"/>
  <c r="T33" i="36"/>
  <c r="T31" i="36"/>
  <c r="T29" i="36"/>
  <c r="T27" i="36"/>
  <c r="W67" i="36"/>
  <c r="W65" i="36"/>
  <c r="W63" i="36"/>
  <c r="W61" i="36"/>
  <c r="W59" i="36"/>
  <c r="W57" i="36"/>
  <c r="W55" i="36"/>
  <c r="W53" i="36"/>
  <c r="W51" i="36"/>
  <c r="W49" i="36"/>
  <c r="W47" i="36"/>
  <c r="W45" i="36"/>
  <c r="W43" i="36"/>
  <c r="W41" i="36"/>
  <c r="W39" i="36"/>
  <c r="W37" i="36"/>
  <c r="R68" i="36"/>
  <c r="R66" i="36"/>
  <c r="R64" i="36"/>
  <c r="R62" i="36"/>
  <c r="R60" i="36"/>
  <c r="R58" i="36"/>
  <c r="R56" i="36"/>
  <c r="R54" i="36"/>
  <c r="R52" i="36"/>
  <c r="R50" i="36"/>
  <c r="R48" i="36"/>
  <c r="R46" i="36"/>
  <c r="R44" i="36"/>
  <c r="R42" i="36"/>
  <c r="R40" i="36"/>
  <c r="R38" i="36"/>
  <c r="R36" i="36"/>
  <c r="U65" i="36"/>
  <c r="U61" i="36"/>
  <c r="U57" i="36"/>
  <c r="U53" i="36"/>
  <c r="U49" i="36"/>
  <c r="U45" i="36"/>
  <c r="U41" i="36"/>
  <c r="U37" i="36"/>
  <c r="U33" i="36"/>
  <c r="U7" i="36"/>
  <c r="U11" i="36"/>
  <c r="U15" i="36"/>
  <c r="U19" i="36"/>
  <c r="U23" i="36"/>
  <c r="R27" i="36"/>
  <c r="W29" i="36"/>
  <c r="V32" i="36"/>
  <c r="R5" i="36"/>
  <c r="X6" i="36"/>
  <c r="X8" i="36"/>
  <c r="X10" i="36"/>
  <c r="X12" i="36"/>
  <c r="X14" i="36"/>
  <c r="X16" i="36"/>
  <c r="X18" i="36"/>
  <c r="X20" i="36"/>
  <c r="X22" i="36"/>
  <c r="X24" i="36"/>
  <c r="V27" i="36"/>
  <c r="V31" i="36"/>
  <c r="X68" i="36"/>
  <c r="X66" i="36"/>
  <c r="X64" i="36"/>
  <c r="X62" i="36"/>
  <c r="X60" i="36"/>
  <c r="X58" i="36"/>
  <c r="X56" i="36"/>
  <c r="X54" i="36"/>
  <c r="X52" i="36"/>
  <c r="X50" i="36"/>
  <c r="X48" i="36"/>
  <c r="X46" i="36"/>
  <c r="X44" i="36"/>
  <c r="X42" i="36"/>
  <c r="X40" i="36"/>
  <c r="X38" i="36"/>
  <c r="X36" i="36"/>
  <c r="X34" i="36"/>
  <c r="X32" i="36"/>
  <c r="X30" i="36"/>
  <c r="X28" i="36"/>
  <c r="X26" i="36"/>
  <c r="S67" i="36"/>
  <c r="S65" i="36"/>
  <c r="S63" i="36"/>
  <c r="S61" i="36"/>
  <c r="S59" i="36"/>
  <c r="S57" i="36"/>
  <c r="S55" i="36"/>
  <c r="S53" i="36"/>
  <c r="S51" i="36"/>
  <c r="S49" i="36"/>
  <c r="S47" i="36"/>
  <c r="S45" i="36"/>
  <c r="S43" i="36"/>
  <c r="S41" i="36"/>
  <c r="S39" i="36"/>
  <c r="S37" i="36"/>
  <c r="V67" i="36"/>
  <c r="V65" i="36"/>
  <c r="V63" i="36"/>
  <c r="V61" i="36"/>
  <c r="V59" i="36"/>
  <c r="V57" i="36"/>
  <c r="V55" i="36"/>
  <c r="V53" i="36"/>
  <c r="V51" i="36"/>
  <c r="V49" i="36"/>
  <c r="V47" i="36"/>
  <c r="V45" i="36"/>
  <c r="V43" i="36"/>
  <c r="V41" i="36"/>
  <c r="V39" i="36"/>
  <c r="V37" i="36"/>
  <c r="U68" i="36"/>
  <c r="U64" i="36"/>
  <c r="U60" i="36"/>
  <c r="U56" i="36"/>
  <c r="U52" i="36"/>
  <c r="U48" i="36"/>
  <c r="U44" i="36"/>
  <c r="U40" i="36"/>
  <c r="U36" i="36"/>
  <c r="U32" i="36"/>
  <c r="U8" i="36"/>
  <c r="U12" i="36"/>
  <c r="U16" i="36"/>
  <c r="U20" i="36"/>
  <c r="U24" i="36"/>
  <c r="W27" i="36"/>
  <c r="U30" i="36"/>
  <c r="S33" i="36"/>
  <c r="V5" i="36"/>
  <c r="T5" i="36"/>
  <c r="T7" i="36"/>
  <c r="T9" i="36"/>
  <c r="T11" i="36"/>
  <c r="T13" i="36"/>
  <c r="T15" i="36"/>
  <c r="T17" i="36"/>
  <c r="T19" i="36"/>
  <c r="T21" i="36"/>
  <c r="T23" i="36"/>
  <c r="T25" i="36"/>
  <c r="S28" i="36"/>
  <c r="S32" i="36"/>
  <c r="T68" i="36"/>
  <c r="T66" i="36"/>
  <c r="T64" i="36"/>
  <c r="T62" i="36"/>
  <c r="T60" i="36"/>
  <c r="T58" i="36"/>
  <c r="T56" i="36"/>
  <c r="T54" i="36"/>
  <c r="T52" i="36"/>
  <c r="T50" i="36"/>
  <c r="T48" i="36"/>
  <c r="T46" i="36"/>
  <c r="T44" i="36"/>
  <c r="T42" i="36"/>
  <c r="T40" i="36"/>
  <c r="T38" i="36"/>
  <c r="T36" i="36"/>
  <c r="T34" i="36"/>
  <c r="T32" i="36"/>
  <c r="T30" i="36"/>
  <c r="T28" i="36"/>
  <c r="W68" i="36"/>
  <c r="W66" i="36"/>
  <c r="W64" i="36"/>
  <c r="W62" i="36"/>
  <c r="W60" i="36"/>
  <c r="W58" i="36"/>
  <c r="W56" i="36"/>
  <c r="W54" i="36"/>
  <c r="W52" i="36"/>
  <c r="W50" i="36"/>
  <c r="W48" i="36"/>
  <c r="W46" i="36"/>
  <c r="W44" i="36"/>
  <c r="W42" i="36"/>
  <c r="W40" i="36"/>
  <c r="W38" i="36"/>
  <c r="W36" i="36"/>
  <c r="R67" i="36"/>
  <c r="R65" i="36"/>
  <c r="R63" i="36"/>
  <c r="R61" i="36"/>
  <c r="R59" i="36"/>
  <c r="R57" i="36"/>
  <c r="R55" i="36"/>
  <c r="R53" i="36"/>
  <c r="R51" i="36"/>
  <c r="R49" i="36"/>
  <c r="R47" i="36"/>
  <c r="R45" i="36"/>
  <c r="R43" i="36"/>
  <c r="R41" i="36"/>
  <c r="R39" i="36"/>
  <c r="R37" i="36"/>
  <c r="U67" i="36"/>
  <c r="U63" i="36"/>
  <c r="U59" i="36"/>
  <c r="U55" i="36"/>
  <c r="U51" i="36"/>
  <c r="U47" i="36"/>
  <c r="U43" i="36"/>
  <c r="U39" i="36"/>
  <c r="U35" i="36"/>
  <c r="U5" i="36"/>
  <c r="U9" i="36"/>
  <c r="U13" i="36"/>
  <c r="U17" i="36"/>
  <c r="U21" i="36"/>
  <c r="U25" i="36"/>
  <c r="U28" i="36"/>
  <c r="R31" i="36"/>
  <c r="W35" i="36"/>
  <c r="R8" i="36"/>
  <c r="R10" i="36"/>
  <c r="R12" i="36"/>
  <c r="R14" i="36"/>
  <c r="R16" i="36"/>
  <c r="R18" i="36"/>
  <c r="R20" i="36"/>
  <c r="R22" i="36"/>
  <c r="R24" i="36"/>
  <c r="R26" i="36"/>
  <c r="S29" i="36"/>
  <c r="V33" i="36"/>
  <c r="W5" i="36"/>
  <c r="W7" i="36"/>
  <c r="W9" i="36"/>
  <c r="W11" i="36"/>
  <c r="W13" i="36"/>
  <c r="W15" i="36"/>
  <c r="W19" i="36"/>
  <c r="W21" i="36"/>
  <c r="W23" i="36"/>
  <c r="R28" i="36"/>
  <c r="V34" i="36"/>
  <c r="V6" i="36"/>
  <c r="V8" i="36"/>
  <c r="V10" i="36"/>
  <c r="V12" i="36"/>
  <c r="V14" i="36"/>
  <c r="V16" i="36"/>
  <c r="V18" i="36"/>
  <c r="V20" i="36"/>
  <c r="V22" i="36"/>
  <c r="V24" i="36"/>
  <c r="V26" i="36"/>
  <c r="V30" i="36"/>
  <c r="S34" i="36"/>
  <c r="S6" i="36"/>
  <c r="S8" i="36"/>
  <c r="S10" i="36"/>
  <c r="S12" i="36"/>
  <c r="S14" i="36"/>
  <c r="S16" i="36"/>
  <c r="S18" i="36"/>
  <c r="S20" i="36"/>
  <c r="S22" i="36"/>
  <c r="S24" i="36"/>
  <c r="S26" i="36"/>
  <c r="W28" i="36"/>
  <c r="U31" i="36"/>
  <c r="S35" i="36"/>
  <c r="R7" i="36"/>
  <c r="R9" i="36"/>
  <c r="R11" i="36"/>
  <c r="R13" i="36"/>
  <c r="R15" i="36"/>
  <c r="R17" i="36"/>
  <c r="R19" i="36"/>
  <c r="R21" i="36"/>
  <c r="R23" i="36"/>
  <c r="R25" i="36"/>
  <c r="S27" i="36"/>
  <c r="S31" i="36"/>
  <c r="R35" i="36"/>
  <c r="W6" i="36"/>
  <c r="W8" i="36"/>
  <c r="W10" i="36"/>
  <c r="W12" i="36"/>
  <c r="W14" i="36"/>
  <c r="W16" i="36"/>
  <c r="W18" i="36"/>
  <c r="W20" i="36"/>
  <c r="W22" i="36"/>
  <c r="W24" i="36"/>
  <c r="W26" i="36"/>
  <c r="U29" i="36"/>
  <c r="R32" i="36"/>
  <c r="S36" i="36"/>
  <c r="R34" i="36"/>
  <c r="V7" i="36"/>
  <c r="V9" i="36"/>
  <c r="V11" i="36"/>
  <c r="V13" i="36"/>
  <c r="V15" i="36"/>
  <c r="V17" i="36"/>
  <c r="V19" i="36"/>
  <c r="V21" i="36"/>
  <c r="V23" i="36"/>
  <c r="V25" i="36"/>
  <c r="V28" i="36"/>
  <c r="W32" i="36"/>
  <c r="S5" i="36"/>
  <c r="S7" i="36"/>
  <c r="S9" i="36"/>
  <c r="S11" i="36"/>
  <c r="S13" i="36"/>
  <c r="S15" i="36"/>
  <c r="S17" i="36"/>
  <c r="S19" i="36"/>
  <c r="S21" i="36"/>
  <c r="S23" i="36"/>
  <c r="S25" i="36"/>
  <c r="U27" i="36"/>
  <c r="R30" i="36"/>
  <c r="W33" i="36"/>
  <c r="W17" i="36"/>
  <c r="W25" i="36"/>
  <c r="W30" i="36"/>
  <c r="M12" i="36"/>
  <c r="M4" i="36"/>
  <c r="W4" i="36"/>
  <c r="D7" i="36"/>
  <c r="D6" i="36"/>
  <c r="D9" i="36"/>
  <c r="D54" i="36"/>
  <c r="D53" i="36"/>
  <c r="D44" i="36"/>
  <c r="D55" i="36"/>
  <c r="D66" i="36"/>
  <c r="D13" i="36"/>
  <c r="D61" i="36"/>
  <c r="D18" i="36"/>
  <c r="D20" i="36"/>
  <c r="D15" i="36"/>
  <c r="D17" i="36"/>
  <c r="C5" i="36"/>
  <c r="I4" i="36"/>
  <c r="K4" i="36"/>
  <c r="D19" i="36"/>
  <c r="D14" i="36"/>
  <c r="D25" i="36"/>
  <c r="D24" i="36"/>
  <c r="D27" i="36"/>
  <c r="D42" i="36"/>
  <c r="D46" i="36"/>
  <c r="D28" i="36"/>
  <c r="D26" i="36"/>
  <c r="X5" i="36"/>
  <c r="X4" i="36"/>
  <c r="L4" i="36"/>
  <c r="Q68" i="38"/>
  <c r="Q67" i="38"/>
  <c r="Q66" i="38"/>
  <c r="Q65" i="38"/>
  <c r="Q64" i="38"/>
  <c r="Q63" i="38"/>
  <c r="Q62" i="38"/>
  <c r="Q61" i="38"/>
  <c r="Q60" i="38"/>
  <c r="Q59" i="38"/>
  <c r="Q58" i="38"/>
  <c r="Q57" i="38"/>
  <c r="Q56" i="38"/>
  <c r="Q55" i="38"/>
  <c r="Q54" i="38"/>
  <c r="Q53" i="38"/>
  <c r="Q52" i="38"/>
  <c r="Q51" i="38"/>
  <c r="Q50" i="38"/>
  <c r="Q49" i="38"/>
  <c r="Q48" i="38"/>
  <c r="Q47" i="38"/>
  <c r="Q46" i="38"/>
  <c r="Q45" i="38"/>
  <c r="Q44" i="38"/>
  <c r="Q43" i="38"/>
  <c r="Q42" i="38"/>
  <c r="Q41" i="38"/>
  <c r="Q40" i="38"/>
  <c r="Q39" i="38"/>
  <c r="Q38" i="38"/>
  <c r="Q37" i="38"/>
  <c r="Q36" i="38"/>
  <c r="Q35" i="38"/>
  <c r="Q34" i="38"/>
  <c r="Q33" i="38"/>
  <c r="Q32" i="38"/>
  <c r="Q31" i="38"/>
  <c r="Q30" i="38"/>
  <c r="Q29" i="38"/>
  <c r="Q28" i="38"/>
  <c r="Q27" i="38"/>
  <c r="Q26" i="38"/>
  <c r="Q25" i="38"/>
  <c r="Q24" i="38"/>
  <c r="Q23" i="38"/>
  <c r="Q22" i="38"/>
  <c r="Q21" i="38"/>
  <c r="Q20" i="38"/>
  <c r="Q19" i="38"/>
  <c r="Q18" i="38"/>
  <c r="Q16" i="38"/>
  <c r="Q15" i="38"/>
  <c r="Q14" i="38"/>
  <c r="Q13" i="38"/>
  <c r="Q12" i="38"/>
  <c r="Q11" i="38"/>
  <c r="Q10" i="38"/>
  <c r="Q9" i="38"/>
  <c r="Q7" i="38"/>
  <c r="Q6" i="38"/>
  <c r="Q5" i="38"/>
  <c r="M68" i="38"/>
  <c r="E68" i="38"/>
  <c r="D68" i="38"/>
  <c r="C68" i="38"/>
  <c r="B68" i="38"/>
  <c r="A68" i="38"/>
  <c r="M67" i="38"/>
  <c r="E67" i="38"/>
  <c r="D67" i="38"/>
  <c r="C67" i="38"/>
  <c r="B67" i="38"/>
  <c r="A67" i="38"/>
  <c r="M66" i="38"/>
  <c r="E66" i="38"/>
  <c r="C66" i="38"/>
  <c r="B66" i="38"/>
  <c r="A66" i="38"/>
  <c r="M65" i="38"/>
  <c r="E65" i="38"/>
  <c r="D65" i="38"/>
  <c r="C65" i="38"/>
  <c r="B65" i="38"/>
  <c r="A65" i="38"/>
  <c r="M64" i="38"/>
  <c r="E64" i="38"/>
  <c r="D64" i="38"/>
  <c r="C64" i="38"/>
  <c r="B64" i="38"/>
  <c r="A64" i="38"/>
  <c r="M63" i="38"/>
  <c r="E63" i="38"/>
  <c r="D63" i="38"/>
  <c r="A63" i="38"/>
  <c r="M62" i="38"/>
  <c r="E62" i="38"/>
  <c r="D62" i="38"/>
  <c r="C62" i="38"/>
  <c r="M61" i="38"/>
  <c r="E61" i="38"/>
  <c r="C61" i="38"/>
  <c r="B61" i="38"/>
  <c r="A61" i="38"/>
  <c r="M60" i="38"/>
  <c r="E60" i="38"/>
  <c r="D60" i="38"/>
  <c r="C60" i="38"/>
  <c r="B60" i="38"/>
  <c r="A60" i="38"/>
  <c r="M59" i="38"/>
  <c r="E59" i="38"/>
  <c r="D59" i="38"/>
  <c r="C59" i="38"/>
  <c r="B59" i="38"/>
  <c r="A59" i="38"/>
  <c r="M58" i="38"/>
  <c r="E58" i="38"/>
  <c r="D58" i="38"/>
  <c r="C58" i="38"/>
  <c r="B58" i="38"/>
  <c r="A58" i="38"/>
  <c r="M57" i="38"/>
  <c r="E57" i="38"/>
  <c r="D57" i="38"/>
  <c r="A57" i="38"/>
  <c r="M56" i="38"/>
  <c r="E56" i="38"/>
  <c r="D56" i="38"/>
  <c r="C56" i="38"/>
  <c r="M55" i="38"/>
  <c r="E55" i="38"/>
  <c r="C55" i="38"/>
  <c r="B55" i="38"/>
  <c r="A55" i="38"/>
  <c r="M54" i="38"/>
  <c r="E54" i="38"/>
  <c r="C54" i="38"/>
  <c r="B54" i="38"/>
  <c r="A54" i="38"/>
  <c r="M53" i="38"/>
  <c r="E53" i="38"/>
  <c r="C53" i="38"/>
  <c r="B53" i="38"/>
  <c r="A53" i="38"/>
  <c r="M52" i="38"/>
  <c r="E52" i="38"/>
  <c r="D52" i="38"/>
  <c r="B52" i="38"/>
  <c r="A52" i="38"/>
  <c r="M51" i="38"/>
  <c r="E51" i="38"/>
  <c r="D51" i="38"/>
  <c r="M50" i="38"/>
  <c r="E50" i="38"/>
  <c r="D50" i="38"/>
  <c r="M49" i="38"/>
  <c r="E49" i="38"/>
  <c r="D49" i="38"/>
  <c r="C49" i="38"/>
  <c r="B49" i="38"/>
  <c r="A49" i="38"/>
  <c r="M48" i="38"/>
  <c r="E48" i="38"/>
  <c r="D48" i="38"/>
  <c r="C48" i="38"/>
  <c r="B48" i="38"/>
  <c r="A48" i="38"/>
  <c r="M47" i="38"/>
  <c r="E47" i="38"/>
  <c r="D47" i="38"/>
  <c r="C47" i="38"/>
  <c r="B47" i="38"/>
  <c r="A47" i="38"/>
  <c r="M46" i="38"/>
  <c r="E46" i="38"/>
  <c r="C46" i="38"/>
  <c r="B46" i="38"/>
  <c r="A46" i="38"/>
  <c r="M45" i="38"/>
  <c r="E45" i="38"/>
  <c r="D45" i="38"/>
  <c r="C45" i="38"/>
  <c r="B45" i="38"/>
  <c r="A45" i="38"/>
  <c r="M44" i="38"/>
  <c r="E44" i="38"/>
  <c r="C44" i="38"/>
  <c r="B44" i="38"/>
  <c r="A44" i="38"/>
  <c r="M43" i="38"/>
  <c r="E43" i="38"/>
  <c r="D43" i="38"/>
  <c r="C43" i="38"/>
  <c r="B43" i="38"/>
  <c r="A43" i="38"/>
  <c r="M42" i="38"/>
  <c r="E42" i="38"/>
  <c r="C42" i="38"/>
  <c r="B42" i="38"/>
  <c r="A42" i="38"/>
  <c r="M41" i="38"/>
  <c r="E41" i="38"/>
  <c r="D41" i="38"/>
  <c r="B41" i="38"/>
  <c r="A41" i="38"/>
  <c r="M40" i="38"/>
  <c r="E40" i="38"/>
  <c r="D40" i="38"/>
  <c r="M39" i="38"/>
  <c r="E39" i="38"/>
  <c r="D39" i="38"/>
  <c r="C39" i="38"/>
  <c r="B39" i="38"/>
  <c r="A39" i="38"/>
  <c r="M38" i="38"/>
  <c r="E38" i="38"/>
  <c r="D38" i="38"/>
  <c r="C38" i="38"/>
  <c r="B38" i="38"/>
  <c r="A38" i="38"/>
  <c r="M37" i="38"/>
  <c r="E37" i="38"/>
  <c r="D37" i="38"/>
  <c r="C37" i="38"/>
  <c r="B37" i="38"/>
  <c r="A37" i="38"/>
  <c r="M36" i="38"/>
  <c r="E36" i="38"/>
  <c r="D36" i="38"/>
  <c r="C36" i="38"/>
  <c r="B36" i="38"/>
  <c r="A36" i="38"/>
  <c r="M35" i="38"/>
  <c r="E35" i="38"/>
  <c r="D35" i="38"/>
  <c r="C35" i="38"/>
  <c r="B35" i="38"/>
  <c r="A35" i="38"/>
  <c r="M34" i="38"/>
  <c r="E34" i="38"/>
  <c r="D34" i="38"/>
  <c r="C34" i="38"/>
  <c r="B34" i="38"/>
  <c r="A34" i="38"/>
  <c r="M33" i="38"/>
  <c r="E33" i="38"/>
  <c r="D33" i="38"/>
  <c r="C33" i="38"/>
  <c r="B33" i="38"/>
  <c r="A33" i="38"/>
  <c r="M32" i="38"/>
  <c r="E32" i="38"/>
  <c r="D32" i="38"/>
  <c r="M31" i="38"/>
  <c r="E31" i="38"/>
  <c r="D31" i="38"/>
  <c r="C31" i="38"/>
  <c r="B31" i="38"/>
  <c r="A31" i="38"/>
  <c r="M30" i="38"/>
  <c r="E30" i="38"/>
  <c r="D30" i="38"/>
  <c r="C30" i="38"/>
  <c r="B30" i="38"/>
  <c r="A30" i="38"/>
  <c r="M29" i="38"/>
  <c r="E29" i="38"/>
  <c r="D29" i="38"/>
  <c r="C29" i="38"/>
  <c r="B29" i="38"/>
  <c r="A29" i="38"/>
  <c r="M28" i="38"/>
  <c r="E28" i="38"/>
  <c r="C28" i="38"/>
  <c r="B28" i="38"/>
  <c r="A28" i="38"/>
  <c r="M27" i="38"/>
  <c r="E27" i="38"/>
  <c r="C27" i="38"/>
  <c r="B27" i="38"/>
  <c r="A27" i="38"/>
  <c r="M26" i="38"/>
  <c r="E26" i="38"/>
  <c r="C26" i="38"/>
  <c r="B26" i="38"/>
  <c r="A26" i="38"/>
  <c r="M25" i="38"/>
  <c r="E25" i="38"/>
  <c r="C25" i="38"/>
  <c r="B25" i="38"/>
  <c r="A25" i="38"/>
  <c r="M24" i="38"/>
  <c r="E24" i="38"/>
  <c r="C24" i="38"/>
  <c r="B24" i="38"/>
  <c r="A24" i="38"/>
  <c r="M23" i="38"/>
  <c r="M22" i="38"/>
  <c r="E22" i="38"/>
  <c r="D22" i="38"/>
  <c r="C22" i="38"/>
  <c r="B22" i="38"/>
  <c r="A22" i="38"/>
  <c r="M21" i="38"/>
  <c r="E21" i="38"/>
  <c r="D21" i="38"/>
  <c r="C21" i="38"/>
  <c r="B21" i="38"/>
  <c r="A21" i="38"/>
  <c r="M20" i="38"/>
  <c r="E20" i="38"/>
  <c r="C20" i="38"/>
  <c r="B20" i="38"/>
  <c r="A20" i="38"/>
  <c r="M19" i="38"/>
  <c r="E19" i="38"/>
  <c r="C19" i="38"/>
  <c r="B19" i="38"/>
  <c r="A19" i="38"/>
  <c r="M18" i="38"/>
  <c r="E18" i="38"/>
  <c r="C18" i="38"/>
  <c r="B18" i="38"/>
  <c r="A18" i="38"/>
  <c r="B17" i="38"/>
  <c r="A17" i="38"/>
  <c r="M16" i="38"/>
  <c r="D16" i="38"/>
  <c r="M15" i="38"/>
  <c r="E15" i="38"/>
  <c r="C15" i="38"/>
  <c r="B15" i="38"/>
  <c r="A15" i="38"/>
  <c r="M14" i="38"/>
  <c r="E14" i="38"/>
  <c r="C14" i="38"/>
  <c r="B14" i="38"/>
  <c r="A14" i="38"/>
  <c r="M13" i="38"/>
  <c r="E13" i="38"/>
  <c r="C13" i="38"/>
  <c r="B13" i="38"/>
  <c r="A13" i="38"/>
  <c r="M12" i="38"/>
  <c r="E12" i="38"/>
  <c r="C12" i="38"/>
  <c r="B12" i="38"/>
  <c r="A12" i="38"/>
  <c r="M11" i="38"/>
  <c r="D11" i="38"/>
  <c r="B11" i="38"/>
  <c r="A11" i="38"/>
  <c r="M10" i="38"/>
  <c r="D10" i="38"/>
  <c r="M9" i="38"/>
  <c r="E9" i="38"/>
  <c r="C9" i="38"/>
  <c r="B9" i="38"/>
  <c r="A9" i="38"/>
  <c r="B8" i="38"/>
  <c r="A8" i="38"/>
  <c r="M7" i="38"/>
  <c r="E7" i="38"/>
  <c r="C7" i="38"/>
  <c r="B7" i="38"/>
  <c r="A7" i="38"/>
  <c r="M6" i="38"/>
  <c r="E6" i="38"/>
  <c r="C6" i="38"/>
  <c r="B6" i="38"/>
  <c r="A6" i="38"/>
  <c r="M5" i="38"/>
  <c r="B5" i="38"/>
  <c r="A5" i="38"/>
  <c r="B2" i="38"/>
  <c r="C4" i="38"/>
  <c r="Q8" i="38"/>
  <c r="Q17" i="38"/>
  <c r="S36" i="38"/>
  <c r="M17" i="38"/>
  <c r="W46" i="38"/>
  <c r="M8" i="38"/>
  <c r="S28" i="38"/>
  <c r="V31" i="38"/>
  <c r="S20" i="38"/>
  <c r="S12" i="38"/>
  <c r="S35" i="38"/>
  <c r="R22" i="38"/>
  <c r="R14" i="38"/>
  <c r="R6" i="38"/>
  <c r="U22" i="38"/>
  <c r="W34" i="38"/>
  <c r="W21" i="38"/>
  <c r="W13" i="38"/>
  <c r="W5" i="38"/>
  <c r="W23" i="38"/>
  <c r="V15" i="38"/>
  <c r="V7" i="38"/>
  <c r="S25" i="38"/>
  <c r="R33" i="38"/>
  <c r="S21" i="38"/>
  <c r="S13" i="38"/>
  <c r="S5" i="38"/>
  <c r="R23" i="38"/>
  <c r="R15" i="38"/>
  <c r="R7" i="38"/>
  <c r="W24" i="38"/>
  <c r="S32" i="38"/>
  <c r="W16" i="38"/>
  <c r="R36" i="38"/>
  <c r="V20" i="38"/>
  <c r="V8" i="38"/>
  <c r="R24" i="38"/>
  <c r="U33" i="38"/>
  <c r="U57" i="38"/>
  <c r="V40" i="38"/>
  <c r="V50" i="38"/>
  <c r="V62" i="38"/>
  <c r="S40" i="38"/>
  <c r="S50" i="38"/>
  <c r="S62" i="38"/>
  <c r="X29" i="38"/>
  <c r="X39" i="38"/>
  <c r="X51" i="38"/>
  <c r="X61" i="38"/>
  <c r="S29" i="38"/>
  <c r="X14" i="38"/>
  <c r="U30" i="38"/>
  <c r="U50" i="38"/>
  <c r="R39" i="38"/>
  <c r="R49" i="38"/>
  <c r="R63" i="38"/>
  <c r="W35" i="38"/>
  <c r="T11" i="38"/>
  <c r="T19" i="38"/>
  <c r="R30" i="38"/>
  <c r="T63" i="38"/>
  <c r="T55" i="38"/>
  <c r="T47" i="38"/>
  <c r="T39" i="38"/>
  <c r="T31" i="38"/>
  <c r="W65" i="38"/>
  <c r="W57" i="38"/>
  <c r="W49" i="38"/>
  <c r="W41" i="38"/>
  <c r="R66" i="38"/>
  <c r="R58" i="38"/>
  <c r="R50" i="38"/>
  <c r="R42" i="38"/>
  <c r="U64" i="38"/>
  <c r="U48" i="38"/>
  <c r="U32" i="38"/>
  <c r="U11" i="38"/>
  <c r="X25" i="38"/>
  <c r="X11" i="38"/>
  <c r="X19" i="38"/>
  <c r="W31" i="38"/>
  <c r="X62" i="38"/>
  <c r="X54" i="38"/>
  <c r="X46" i="38"/>
  <c r="X38" i="38"/>
  <c r="X30" i="38"/>
  <c r="S65" i="38"/>
  <c r="S57" i="38"/>
  <c r="S49" i="38"/>
  <c r="S41" i="38"/>
  <c r="V65" i="38"/>
  <c r="V57" i="38"/>
  <c r="V49" i="38"/>
  <c r="V41" i="38"/>
  <c r="U63" i="38"/>
  <c r="U47" i="38"/>
  <c r="U31" i="38"/>
  <c r="U12" i="38"/>
  <c r="T10" i="38"/>
  <c r="T18" i="38"/>
  <c r="V28" i="38"/>
  <c r="T64" i="38"/>
  <c r="T56" i="38"/>
  <c r="T48" i="38"/>
  <c r="T40" i="38"/>
  <c r="T32" i="38"/>
  <c r="W66" i="38"/>
  <c r="W58" i="38"/>
  <c r="W50" i="38"/>
  <c r="W42" i="38"/>
  <c r="R67" i="38"/>
  <c r="R59" i="38"/>
  <c r="T5" i="38"/>
  <c r="T13" i="38"/>
  <c r="T21" i="38"/>
  <c r="R34" i="38"/>
  <c r="T61" i="38"/>
  <c r="T53" i="38"/>
  <c r="T45" i="38"/>
  <c r="T37" i="38"/>
  <c r="T29" i="38"/>
  <c r="W63" i="38"/>
  <c r="W55" i="38"/>
  <c r="W47" i="38"/>
  <c r="W39" i="38"/>
  <c r="R64" i="38"/>
  <c r="R56" i="38"/>
  <c r="R48" i="38"/>
  <c r="R40" i="38"/>
  <c r="U60" i="38"/>
  <c r="U44" i="38"/>
  <c r="U28" i="38"/>
  <c r="U15" i="38"/>
  <c r="X13" i="38"/>
  <c r="X21" i="38"/>
  <c r="X68" i="38"/>
  <c r="X60" i="38"/>
  <c r="X52" i="38"/>
  <c r="X44" i="38"/>
  <c r="X36" i="38"/>
  <c r="X28" i="38"/>
  <c r="S63" i="38"/>
  <c r="S55" i="38"/>
  <c r="S47" i="38"/>
  <c r="S39" i="38"/>
  <c r="V63" i="38"/>
  <c r="V55" i="38"/>
  <c r="V47" i="38"/>
  <c r="V39" i="38"/>
  <c r="U59" i="38"/>
  <c r="U43" i="38"/>
  <c r="U27" i="38"/>
  <c r="U16" i="38"/>
  <c r="T12" i="38"/>
  <c r="T20" i="38"/>
  <c r="V32" i="38"/>
  <c r="T62" i="38"/>
  <c r="T54" i="38"/>
  <c r="T46" i="38"/>
  <c r="T38" i="38"/>
  <c r="T30" i="38"/>
  <c r="W64" i="38"/>
  <c r="T7" i="38"/>
  <c r="T15" i="38"/>
  <c r="T23" i="38"/>
  <c r="T67" i="38"/>
  <c r="T59" i="38"/>
  <c r="T51" i="38"/>
  <c r="T43" i="38"/>
  <c r="T35" i="38"/>
  <c r="T27" i="38"/>
  <c r="W61" i="38"/>
  <c r="W53" i="38"/>
  <c r="W45" i="38"/>
  <c r="W37" i="38"/>
  <c r="R62" i="38"/>
  <c r="R54" i="38"/>
  <c r="R46" i="38"/>
  <c r="R38" i="38"/>
  <c r="U56" i="38"/>
  <c r="U40" i="38"/>
  <c r="U24" i="38"/>
  <c r="U19" i="38"/>
  <c r="X7" i="38"/>
  <c r="X15" i="38"/>
  <c r="V24" i="38"/>
  <c r="X66" i="38"/>
  <c r="X58" i="38"/>
  <c r="X50" i="38"/>
  <c r="X42" i="38"/>
  <c r="X34" i="38"/>
  <c r="X26" i="38"/>
  <c r="S61" i="38"/>
  <c r="S53" i="38"/>
  <c r="S45" i="38"/>
  <c r="S37" i="38"/>
  <c r="V61" i="38"/>
  <c r="V53" i="38"/>
  <c r="V45" i="38"/>
  <c r="V37" i="38"/>
  <c r="U55" i="38"/>
  <c r="U39" i="38"/>
  <c r="U23" i="38"/>
  <c r="T6" i="38"/>
  <c r="T14" i="38"/>
  <c r="T22" i="38"/>
  <c r="T68" i="38"/>
  <c r="T60" i="38"/>
  <c r="T52" i="38"/>
  <c r="T44" i="38"/>
  <c r="T36" i="38"/>
  <c r="T28" i="38"/>
  <c r="W62" i="38"/>
  <c r="T9" i="38"/>
  <c r="T17" i="38"/>
  <c r="S26" i="38"/>
  <c r="T65" i="38"/>
  <c r="T57" i="38"/>
  <c r="T49" i="38"/>
  <c r="T41" i="38"/>
  <c r="T33" i="38"/>
  <c r="W67" i="38"/>
  <c r="W59" i="38"/>
  <c r="W51" i="38"/>
  <c r="W43" i="38"/>
  <c r="R68" i="38"/>
  <c r="R60" i="38"/>
  <c r="R52" i="38"/>
  <c r="R44" i="38"/>
  <c r="U68" i="38"/>
  <c r="U52" i="38"/>
  <c r="U36" i="38"/>
  <c r="U7" i="38"/>
  <c r="V23" i="38"/>
  <c r="X9" i="38"/>
  <c r="X17" i="38"/>
  <c r="W27" i="38"/>
  <c r="X64" i="38"/>
  <c r="X56" i="38"/>
  <c r="X48" i="38"/>
  <c r="X40" i="38"/>
  <c r="X32" i="38"/>
  <c r="S67" i="38"/>
  <c r="S59" i="38"/>
  <c r="S51" i="38"/>
  <c r="S43" i="38"/>
  <c r="V67" i="38"/>
  <c r="V59" i="38"/>
  <c r="V51" i="38"/>
  <c r="V43" i="38"/>
  <c r="U67" i="38"/>
  <c r="U51" i="38"/>
  <c r="U35" i="38"/>
  <c r="U8" i="38"/>
  <c r="T8" i="38"/>
  <c r="T16" i="38"/>
  <c r="R25" i="38"/>
  <c r="T66" i="38"/>
  <c r="T58" i="38"/>
  <c r="T50" i="38"/>
  <c r="T42" i="38"/>
  <c r="T34" i="38"/>
  <c r="W68" i="38"/>
  <c r="W60" i="38"/>
  <c r="W52" i="38"/>
  <c r="W44" i="38"/>
  <c r="W36" i="38"/>
  <c r="R61" i="38"/>
  <c r="R53" i="38"/>
  <c r="R45" i="38"/>
  <c r="R37" i="38"/>
  <c r="U54" i="38"/>
  <c r="U38" i="38"/>
  <c r="X8" i="38"/>
  <c r="X16" i="38"/>
  <c r="W25" i="38"/>
  <c r="X65" i="38"/>
  <c r="X57" i="38"/>
  <c r="X49" i="38"/>
  <c r="X41" i="38"/>
  <c r="X33" i="38"/>
  <c r="S68" i="38"/>
  <c r="S60" i="38"/>
  <c r="S52" i="38"/>
  <c r="S44" i="38"/>
  <c r="V68" i="38"/>
  <c r="V60" i="38"/>
  <c r="V52" i="38"/>
  <c r="V44" i="38"/>
  <c r="V36" i="38"/>
  <c r="U53" i="38"/>
  <c r="U37" i="38"/>
  <c r="U10" i="38"/>
  <c r="R31" i="38"/>
  <c r="V10" i="38"/>
  <c r="V18" i="38"/>
  <c r="R28" i="38"/>
  <c r="W8" i="38"/>
  <c r="W22" i="38"/>
  <c r="V27" i="38"/>
  <c r="S18" i="38"/>
  <c r="S10" i="38"/>
  <c r="S31" i="38"/>
  <c r="R20" i="38"/>
  <c r="R12" i="38"/>
  <c r="S34" i="38"/>
  <c r="U17" i="38"/>
  <c r="W30" i="38"/>
  <c r="W19" i="38"/>
  <c r="W11" i="38"/>
  <c r="V34" i="38"/>
  <c r="V21" i="38"/>
  <c r="V13" i="38"/>
  <c r="V5" i="38"/>
  <c r="U21" i="38"/>
  <c r="R29" i="38"/>
  <c r="S19" i="38"/>
  <c r="S11" i="38"/>
  <c r="W33" i="38"/>
  <c r="R21" i="38"/>
  <c r="R13" i="38"/>
  <c r="R5" i="38"/>
  <c r="U20" i="38"/>
  <c r="V25" i="38"/>
  <c r="W14" i="38"/>
  <c r="R32" i="38"/>
  <c r="V16" i="38"/>
  <c r="V6" i="38"/>
  <c r="U18" i="38"/>
  <c r="U41" i="38"/>
  <c r="U61" i="38"/>
  <c r="V42" i="38"/>
  <c r="V54" i="38"/>
  <c r="V64" i="38"/>
  <c r="S42" i="38"/>
  <c r="S54" i="38"/>
  <c r="S64" i="38"/>
  <c r="X31" i="38"/>
  <c r="X43" i="38"/>
  <c r="X53" i="38"/>
  <c r="X63" i="38"/>
  <c r="X22" i="38"/>
  <c r="X12" i="38"/>
  <c r="U34" i="38"/>
  <c r="U58" i="38"/>
  <c r="R41" i="38"/>
  <c r="R51" i="38"/>
  <c r="R65" i="38"/>
  <c r="W48" i="38"/>
  <c r="W12" i="38"/>
  <c r="T24" i="38"/>
  <c r="S16" i="38"/>
  <c r="S8" i="38"/>
  <c r="S27" i="38"/>
  <c r="R18" i="38"/>
  <c r="R10" i="38"/>
  <c r="S30" i="38"/>
  <c r="U9" i="38"/>
  <c r="W26" i="38"/>
  <c r="W17" i="38"/>
  <c r="W9" i="38"/>
  <c r="V30" i="38"/>
  <c r="V19" i="38"/>
  <c r="V11" i="38"/>
  <c r="V33" i="38"/>
  <c r="U14" i="38"/>
  <c r="R26" i="38"/>
  <c r="S17" i="38"/>
  <c r="S9" i="38"/>
  <c r="W29" i="38"/>
  <c r="R19" i="38"/>
  <c r="R11" i="38"/>
  <c r="W32" i="38"/>
  <c r="U13" i="38"/>
  <c r="W20" i="38"/>
  <c r="W10" i="38"/>
  <c r="X24" i="38"/>
  <c r="V14" i="38"/>
  <c r="R35" i="38"/>
  <c r="U25" i="38"/>
  <c r="U45" i="38"/>
  <c r="U65" i="38"/>
  <c r="V46" i="38"/>
  <c r="V56" i="38"/>
  <c r="V66" i="38"/>
  <c r="S46" i="38"/>
  <c r="S56" i="38"/>
  <c r="S66" i="38"/>
  <c r="X35" i="38"/>
  <c r="X45" i="38"/>
  <c r="X55" i="38"/>
  <c r="X67" i="38"/>
  <c r="X20" i="38"/>
  <c r="X10" i="38"/>
  <c r="U42" i="38"/>
  <c r="U62" i="38"/>
  <c r="R43" i="38"/>
  <c r="R55" i="38"/>
  <c r="W38" i="38"/>
  <c r="W54" i="38"/>
  <c r="V35" i="38"/>
  <c r="S22" i="38"/>
  <c r="S14" i="38"/>
  <c r="S6" i="38"/>
  <c r="S24" i="38"/>
  <c r="R16" i="38"/>
  <c r="R8" i="38"/>
  <c r="T26" i="38"/>
  <c r="U26" i="38"/>
  <c r="X23" i="38"/>
  <c r="W15" i="38"/>
  <c r="W7" i="38"/>
  <c r="V26" i="38"/>
  <c r="V17" i="38"/>
  <c r="V9" i="38"/>
  <c r="V29" i="38"/>
  <c r="U6" i="38"/>
  <c r="S23" i="38"/>
  <c r="S15" i="38"/>
  <c r="S7" i="38"/>
  <c r="T25" i="38"/>
  <c r="R17" i="38"/>
  <c r="R9" i="38"/>
  <c r="W28" i="38"/>
  <c r="U5" i="38"/>
  <c r="W18" i="38"/>
  <c r="W6" i="38"/>
  <c r="V22" i="38"/>
  <c r="V12" i="38"/>
  <c r="R27" i="38"/>
  <c r="U29" i="38"/>
  <c r="U49" i="38"/>
  <c r="V38" i="38"/>
  <c r="V48" i="38"/>
  <c r="V58" i="38"/>
  <c r="S38" i="38"/>
  <c r="S48" i="38"/>
  <c r="S58" i="38"/>
  <c r="X27" i="38"/>
  <c r="X37" i="38"/>
  <c r="X47" i="38"/>
  <c r="X59" i="38"/>
  <c r="S33" i="38"/>
  <c r="X18" i="38"/>
  <c r="U46" i="38"/>
  <c r="U66" i="38"/>
  <c r="R47" i="38"/>
  <c r="R57" i="38"/>
  <c r="W40" i="38"/>
  <c r="W56" i="38"/>
  <c r="M4" i="38"/>
  <c r="W4" i="38"/>
  <c r="D7" i="38"/>
  <c r="D6" i="38"/>
  <c r="D9" i="38"/>
  <c r="D54" i="38"/>
  <c r="D53" i="38"/>
  <c r="D44" i="38"/>
  <c r="D55" i="38"/>
  <c r="X5" i="38"/>
  <c r="D66" i="38"/>
  <c r="D13" i="38"/>
  <c r="D61" i="38"/>
  <c r="D18" i="38"/>
  <c r="D20" i="38"/>
  <c r="D12" i="38"/>
  <c r="D15" i="38"/>
  <c r="X6" i="38"/>
  <c r="X4" i="38"/>
  <c r="C5" i="38"/>
  <c r="I4" i="38"/>
  <c r="K4" i="38"/>
  <c r="D19" i="38"/>
  <c r="D14" i="38"/>
  <c r="D25" i="38"/>
  <c r="D24" i="38"/>
  <c r="D27" i="38"/>
  <c r="D42" i="38"/>
  <c r="D46" i="38"/>
  <c r="D28" i="38"/>
  <c r="D26" i="38"/>
  <c r="L4" i="38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1" i="3"/>
  <c r="Q10" i="3"/>
  <c r="Q9" i="3"/>
  <c r="Q7" i="3"/>
  <c r="Q6" i="3"/>
  <c r="Q5" i="3"/>
  <c r="E24" i="3"/>
  <c r="E25" i="3"/>
  <c r="E26" i="3"/>
  <c r="M68" i="3"/>
  <c r="E68" i="3"/>
  <c r="D68" i="3"/>
  <c r="C68" i="3"/>
  <c r="B68" i="3"/>
  <c r="A68" i="3"/>
  <c r="M67" i="3"/>
  <c r="E67" i="3"/>
  <c r="D67" i="3"/>
  <c r="C67" i="3"/>
  <c r="B67" i="3"/>
  <c r="A67" i="3"/>
  <c r="M66" i="3"/>
  <c r="E66" i="3"/>
  <c r="C66" i="3"/>
  <c r="B66" i="3"/>
  <c r="A66" i="3"/>
  <c r="M65" i="3"/>
  <c r="E65" i="3"/>
  <c r="D65" i="3"/>
  <c r="C65" i="3"/>
  <c r="B65" i="3"/>
  <c r="A65" i="3"/>
  <c r="M64" i="3"/>
  <c r="E64" i="3"/>
  <c r="D64" i="3"/>
  <c r="C64" i="3"/>
  <c r="B64" i="3"/>
  <c r="A64" i="3"/>
  <c r="M63" i="3"/>
  <c r="E63" i="3"/>
  <c r="D63" i="3"/>
  <c r="A63" i="3"/>
  <c r="M62" i="3"/>
  <c r="E62" i="3"/>
  <c r="D62" i="3"/>
  <c r="C62" i="3"/>
  <c r="M61" i="3"/>
  <c r="E61" i="3"/>
  <c r="C61" i="3"/>
  <c r="B61" i="3"/>
  <c r="A61" i="3"/>
  <c r="M60" i="3"/>
  <c r="E60" i="3"/>
  <c r="D60" i="3"/>
  <c r="C60" i="3"/>
  <c r="B60" i="3"/>
  <c r="A60" i="3"/>
  <c r="M59" i="3"/>
  <c r="E59" i="3"/>
  <c r="D59" i="3"/>
  <c r="C59" i="3"/>
  <c r="B59" i="3"/>
  <c r="A59" i="3"/>
  <c r="M58" i="3"/>
  <c r="E58" i="3"/>
  <c r="D58" i="3"/>
  <c r="C58" i="3"/>
  <c r="B58" i="3"/>
  <c r="A58" i="3"/>
  <c r="M57" i="3"/>
  <c r="E57" i="3"/>
  <c r="D57" i="3"/>
  <c r="A57" i="3"/>
  <c r="M56" i="3"/>
  <c r="E56" i="3"/>
  <c r="D56" i="3"/>
  <c r="C56" i="3"/>
  <c r="M55" i="3"/>
  <c r="E55" i="3"/>
  <c r="C55" i="3"/>
  <c r="B55" i="3"/>
  <c r="A55" i="3"/>
  <c r="M54" i="3"/>
  <c r="E54" i="3"/>
  <c r="C54" i="3"/>
  <c r="B54" i="3"/>
  <c r="A54" i="3"/>
  <c r="M53" i="3"/>
  <c r="E53" i="3"/>
  <c r="C53" i="3"/>
  <c r="B53" i="3"/>
  <c r="A53" i="3"/>
  <c r="M52" i="3"/>
  <c r="E52" i="3"/>
  <c r="D52" i="3"/>
  <c r="B52" i="3"/>
  <c r="A52" i="3"/>
  <c r="M51" i="3"/>
  <c r="E51" i="3"/>
  <c r="D51" i="3"/>
  <c r="M50" i="3"/>
  <c r="E50" i="3"/>
  <c r="D50" i="3"/>
  <c r="M49" i="3"/>
  <c r="E49" i="3"/>
  <c r="D49" i="3"/>
  <c r="C49" i="3"/>
  <c r="B49" i="3"/>
  <c r="A49" i="3"/>
  <c r="M48" i="3"/>
  <c r="E48" i="3"/>
  <c r="D48" i="3"/>
  <c r="C48" i="3"/>
  <c r="B48" i="3"/>
  <c r="A48" i="3"/>
  <c r="M47" i="3"/>
  <c r="E47" i="3"/>
  <c r="D47" i="3"/>
  <c r="C47" i="3"/>
  <c r="B47" i="3"/>
  <c r="A47" i="3"/>
  <c r="M46" i="3"/>
  <c r="E46" i="3"/>
  <c r="C46" i="3"/>
  <c r="B46" i="3"/>
  <c r="A46" i="3"/>
  <c r="M45" i="3"/>
  <c r="E45" i="3"/>
  <c r="D45" i="3"/>
  <c r="C45" i="3"/>
  <c r="B45" i="3"/>
  <c r="A45" i="3"/>
  <c r="M44" i="3"/>
  <c r="E44" i="3"/>
  <c r="C44" i="3"/>
  <c r="B44" i="3"/>
  <c r="A44" i="3"/>
  <c r="M43" i="3"/>
  <c r="E43" i="3"/>
  <c r="D43" i="3"/>
  <c r="C43" i="3"/>
  <c r="B43" i="3"/>
  <c r="A43" i="3"/>
  <c r="M42" i="3"/>
  <c r="E42" i="3"/>
  <c r="C42" i="3"/>
  <c r="B42" i="3"/>
  <c r="A42" i="3"/>
  <c r="M41" i="3"/>
  <c r="E41" i="3"/>
  <c r="D41" i="3"/>
  <c r="B41" i="3"/>
  <c r="A41" i="3"/>
  <c r="M40" i="3"/>
  <c r="E40" i="3"/>
  <c r="D40" i="3"/>
  <c r="M39" i="3"/>
  <c r="E39" i="3"/>
  <c r="D39" i="3"/>
  <c r="C39" i="3"/>
  <c r="B39" i="3"/>
  <c r="A39" i="3"/>
  <c r="M38" i="3"/>
  <c r="E38" i="3"/>
  <c r="D38" i="3"/>
  <c r="C38" i="3"/>
  <c r="B38" i="3"/>
  <c r="A38" i="3"/>
  <c r="M37" i="3"/>
  <c r="E37" i="3"/>
  <c r="D37" i="3"/>
  <c r="C37" i="3"/>
  <c r="B37" i="3"/>
  <c r="A37" i="3"/>
  <c r="M36" i="3"/>
  <c r="E36" i="3"/>
  <c r="D36" i="3"/>
  <c r="C36" i="3"/>
  <c r="B36" i="3"/>
  <c r="A36" i="3"/>
  <c r="M35" i="3"/>
  <c r="E35" i="3"/>
  <c r="D35" i="3"/>
  <c r="C35" i="3"/>
  <c r="B35" i="3"/>
  <c r="A35" i="3"/>
  <c r="M34" i="3"/>
  <c r="E34" i="3"/>
  <c r="D34" i="3"/>
  <c r="C34" i="3"/>
  <c r="B34" i="3"/>
  <c r="A34" i="3"/>
  <c r="M33" i="3"/>
  <c r="E33" i="3"/>
  <c r="D33" i="3"/>
  <c r="C33" i="3"/>
  <c r="B33" i="3"/>
  <c r="A33" i="3"/>
  <c r="M32" i="3"/>
  <c r="E32" i="3"/>
  <c r="D32" i="3"/>
  <c r="M31" i="3"/>
  <c r="E31" i="3"/>
  <c r="D31" i="3"/>
  <c r="C31" i="3"/>
  <c r="B31" i="3"/>
  <c r="A31" i="3"/>
  <c r="M30" i="3"/>
  <c r="E30" i="3"/>
  <c r="D30" i="3"/>
  <c r="C30" i="3"/>
  <c r="B30" i="3"/>
  <c r="A30" i="3"/>
  <c r="M29" i="3"/>
  <c r="E29" i="3"/>
  <c r="D29" i="3"/>
  <c r="C29" i="3"/>
  <c r="B29" i="3"/>
  <c r="A29" i="3"/>
  <c r="M28" i="3"/>
  <c r="E28" i="3"/>
  <c r="C28" i="3"/>
  <c r="B28" i="3"/>
  <c r="A28" i="3"/>
  <c r="M27" i="3"/>
  <c r="E27" i="3"/>
  <c r="C27" i="3"/>
  <c r="B27" i="3"/>
  <c r="A27" i="3"/>
  <c r="M26" i="3"/>
  <c r="C26" i="3"/>
  <c r="B26" i="3"/>
  <c r="A26" i="3"/>
  <c r="M25" i="3"/>
  <c r="C25" i="3"/>
  <c r="B25" i="3"/>
  <c r="A25" i="3"/>
  <c r="M24" i="3"/>
  <c r="C24" i="3"/>
  <c r="B24" i="3"/>
  <c r="A24" i="3"/>
  <c r="M23" i="3"/>
  <c r="M22" i="3"/>
  <c r="E22" i="3"/>
  <c r="D22" i="3"/>
  <c r="C22" i="3"/>
  <c r="B22" i="3"/>
  <c r="A22" i="3"/>
  <c r="M21" i="3"/>
  <c r="E21" i="3"/>
  <c r="D21" i="3"/>
  <c r="C21" i="3"/>
  <c r="B21" i="3"/>
  <c r="A21" i="3"/>
  <c r="M20" i="3"/>
  <c r="E20" i="3"/>
  <c r="C20" i="3"/>
  <c r="B20" i="3"/>
  <c r="A20" i="3"/>
  <c r="M19" i="3"/>
  <c r="E19" i="3"/>
  <c r="C19" i="3"/>
  <c r="B19" i="3"/>
  <c r="A19" i="3"/>
  <c r="M18" i="3"/>
  <c r="E18" i="3"/>
  <c r="C18" i="3"/>
  <c r="B18" i="3"/>
  <c r="A18" i="3"/>
  <c r="M17" i="3"/>
  <c r="E17" i="3"/>
  <c r="C17" i="3"/>
  <c r="B17" i="3"/>
  <c r="A17" i="3"/>
  <c r="M16" i="3"/>
  <c r="D16" i="3"/>
  <c r="M15" i="3"/>
  <c r="E15" i="3"/>
  <c r="C15" i="3"/>
  <c r="B15" i="3"/>
  <c r="A15" i="3"/>
  <c r="M14" i="3"/>
  <c r="E14" i="3"/>
  <c r="C14" i="3"/>
  <c r="B14" i="3"/>
  <c r="A14" i="3"/>
  <c r="M13" i="3"/>
  <c r="E13" i="3"/>
  <c r="C13" i="3"/>
  <c r="B13" i="3"/>
  <c r="A13" i="3"/>
  <c r="B12" i="3"/>
  <c r="A12" i="3"/>
  <c r="M11" i="3"/>
  <c r="D11" i="3"/>
  <c r="B11" i="3"/>
  <c r="A11" i="3"/>
  <c r="M10" i="3"/>
  <c r="D10" i="3"/>
  <c r="M9" i="3"/>
  <c r="E9" i="3"/>
  <c r="C9" i="3"/>
  <c r="B9" i="3"/>
  <c r="A9" i="3"/>
  <c r="B8" i="3"/>
  <c r="A8" i="3"/>
  <c r="M7" i="3"/>
  <c r="E7" i="3"/>
  <c r="C7" i="3"/>
  <c r="B7" i="3"/>
  <c r="A7" i="3"/>
  <c r="C6" i="3"/>
  <c r="B6" i="3"/>
  <c r="A6" i="3"/>
  <c r="M12" i="3"/>
  <c r="Q12" i="3"/>
  <c r="C4" i="3"/>
  <c r="Q8" i="3"/>
  <c r="U67" i="3"/>
  <c r="W6" i="3"/>
  <c r="W8" i="3"/>
  <c r="W10" i="3"/>
  <c r="W12" i="3"/>
  <c r="W14" i="3"/>
  <c r="W16" i="3"/>
  <c r="W18" i="3"/>
  <c r="W20" i="3"/>
  <c r="W22" i="3"/>
  <c r="W24" i="3"/>
  <c r="W26" i="3"/>
  <c r="U29" i="3"/>
  <c r="R32" i="3"/>
  <c r="X8" i="3"/>
  <c r="X10" i="3"/>
  <c r="X12" i="3"/>
  <c r="X14" i="3"/>
  <c r="X16" i="3"/>
  <c r="X18" i="3"/>
  <c r="X20" i="3"/>
  <c r="X22" i="3"/>
  <c r="X24" i="3"/>
  <c r="V27" i="3"/>
  <c r="V31" i="3"/>
  <c r="U35" i="3"/>
  <c r="U43" i="3"/>
  <c r="U51" i="3"/>
  <c r="U59" i="3"/>
  <c r="X68" i="3"/>
  <c r="X66" i="3"/>
  <c r="X64" i="3"/>
  <c r="X62" i="3"/>
  <c r="X60" i="3"/>
  <c r="X58" i="3"/>
  <c r="X56" i="3"/>
  <c r="X54" i="3"/>
  <c r="X52" i="3"/>
  <c r="X50" i="3"/>
  <c r="X48" i="3"/>
  <c r="X46" i="3"/>
  <c r="X44" i="3"/>
  <c r="X42" i="3"/>
  <c r="X40" i="3"/>
  <c r="X38" i="3"/>
  <c r="X36" i="3"/>
  <c r="X34" i="3"/>
  <c r="X32" i="3"/>
  <c r="X30" i="3"/>
  <c r="X28" i="3"/>
  <c r="X26" i="3"/>
  <c r="S67" i="3"/>
  <c r="S65" i="3"/>
  <c r="S63" i="3"/>
  <c r="S61" i="3"/>
  <c r="S59" i="3"/>
  <c r="S57" i="3"/>
  <c r="S55" i="3"/>
  <c r="S53" i="3"/>
  <c r="S51" i="3"/>
  <c r="S49" i="3"/>
  <c r="S47" i="3"/>
  <c r="S45" i="3"/>
  <c r="S43" i="3"/>
  <c r="S41" i="3"/>
  <c r="S39" i="3"/>
  <c r="S37" i="3"/>
  <c r="S35" i="3"/>
  <c r="R67" i="3"/>
  <c r="R65" i="3"/>
  <c r="R63" i="3"/>
  <c r="R61" i="3"/>
  <c r="R59" i="3"/>
  <c r="R57" i="3"/>
  <c r="R55" i="3"/>
  <c r="R53" i="3"/>
  <c r="R51" i="3"/>
  <c r="R49" i="3"/>
  <c r="R47" i="3"/>
  <c r="R45" i="3"/>
  <c r="R43" i="3"/>
  <c r="R41" i="3"/>
  <c r="R39" i="3"/>
  <c r="R37" i="3"/>
  <c r="S5" i="3"/>
  <c r="S7" i="3"/>
  <c r="S9" i="3"/>
  <c r="S11" i="3"/>
  <c r="S13" i="3"/>
  <c r="S15" i="3"/>
  <c r="S17" i="3"/>
  <c r="S19" i="3"/>
  <c r="S21" i="3"/>
  <c r="S23" i="3"/>
  <c r="S25" i="3"/>
  <c r="U27" i="3"/>
  <c r="R30" i="3"/>
  <c r="T5" i="3"/>
  <c r="T7" i="3"/>
  <c r="T9" i="3"/>
  <c r="T11" i="3"/>
  <c r="T13" i="3"/>
  <c r="T15" i="3"/>
  <c r="T17" i="3"/>
  <c r="T19" i="3"/>
  <c r="T21" i="3"/>
  <c r="T23" i="3"/>
  <c r="T25" i="3"/>
  <c r="S28" i="3"/>
  <c r="S32" i="3"/>
  <c r="U37" i="3"/>
  <c r="U45" i="3"/>
  <c r="U53" i="3"/>
  <c r="U61" i="3"/>
  <c r="T68" i="3"/>
  <c r="T66" i="3"/>
  <c r="T64" i="3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W68" i="3"/>
  <c r="W66" i="3"/>
  <c r="W64" i="3"/>
  <c r="W62" i="3"/>
  <c r="W60" i="3"/>
  <c r="W58" i="3"/>
  <c r="W56" i="3"/>
  <c r="W54" i="3"/>
  <c r="W52" i="3"/>
  <c r="W50" i="3"/>
  <c r="W48" i="3"/>
  <c r="W46" i="3"/>
  <c r="W44" i="3"/>
  <c r="W42" i="3"/>
  <c r="W40" i="3"/>
  <c r="W38" i="3"/>
  <c r="W36" i="3"/>
  <c r="V68" i="3"/>
  <c r="V66" i="3"/>
  <c r="V64" i="3"/>
  <c r="V62" i="3"/>
  <c r="V60" i="3"/>
  <c r="V58" i="3"/>
  <c r="V56" i="3"/>
  <c r="V54" i="3"/>
  <c r="V52" i="3"/>
  <c r="V50" i="3"/>
  <c r="V48" i="3"/>
  <c r="V46" i="3"/>
  <c r="V44" i="3"/>
  <c r="W5" i="3"/>
  <c r="W4" i="3"/>
  <c r="W7" i="3"/>
  <c r="W9" i="3"/>
  <c r="W11" i="3"/>
  <c r="W13" i="3"/>
  <c r="W15" i="3"/>
  <c r="W17" i="3"/>
  <c r="W19" i="3"/>
  <c r="W21" i="3"/>
  <c r="W23" i="3"/>
  <c r="W25" i="3"/>
  <c r="R28" i="3"/>
  <c r="W30" i="3"/>
  <c r="X7" i="3"/>
  <c r="X9" i="3"/>
  <c r="X11" i="3"/>
  <c r="X13" i="3"/>
  <c r="X15" i="3"/>
  <c r="X17" i="3"/>
  <c r="X19" i="3"/>
  <c r="X21" i="3"/>
  <c r="X23" i="3"/>
  <c r="X25" i="3"/>
  <c r="V29" i="3"/>
  <c r="S33" i="3"/>
  <c r="U39" i="3"/>
  <c r="U47" i="3"/>
  <c r="U55" i="3"/>
  <c r="U63" i="3"/>
  <c r="X67" i="3"/>
  <c r="X65" i="3"/>
  <c r="X63" i="3"/>
  <c r="X61" i="3"/>
  <c r="X59" i="3"/>
  <c r="X57" i="3"/>
  <c r="X55" i="3"/>
  <c r="X53" i="3"/>
  <c r="X51" i="3"/>
  <c r="X49" i="3"/>
  <c r="X47" i="3"/>
  <c r="X45" i="3"/>
  <c r="X43" i="3"/>
  <c r="X41" i="3"/>
  <c r="X39" i="3"/>
  <c r="X37" i="3"/>
  <c r="X35" i="3"/>
  <c r="X33" i="3"/>
  <c r="X31" i="3"/>
  <c r="X29" i="3"/>
  <c r="X27" i="3"/>
  <c r="S68" i="3"/>
  <c r="S66" i="3"/>
  <c r="S64" i="3"/>
  <c r="S62" i="3"/>
  <c r="S60" i="3"/>
  <c r="S58" i="3"/>
  <c r="S56" i="3"/>
  <c r="S54" i="3"/>
  <c r="S52" i="3"/>
  <c r="S50" i="3"/>
  <c r="S48" i="3"/>
  <c r="S46" i="3"/>
  <c r="S44" i="3"/>
  <c r="S42" i="3"/>
  <c r="S40" i="3"/>
  <c r="S38" i="3"/>
  <c r="S36" i="3"/>
  <c r="R68" i="3"/>
  <c r="R66" i="3"/>
  <c r="R64" i="3"/>
  <c r="R62" i="3"/>
  <c r="R60" i="3"/>
  <c r="R58" i="3"/>
  <c r="R56" i="3"/>
  <c r="R54" i="3"/>
  <c r="R52" i="3"/>
  <c r="R50" i="3"/>
  <c r="R48" i="3"/>
  <c r="R46" i="3"/>
  <c r="R44" i="3"/>
  <c r="S6" i="3"/>
  <c r="S8" i="3"/>
  <c r="S10" i="3"/>
  <c r="S12" i="3"/>
  <c r="S14" i="3"/>
  <c r="S16" i="3"/>
  <c r="S18" i="3"/>
  <c r="S20" i="3"/>
  <c r="S22" i="3"/>
  <c r="S24" i="3"/>
  <c r="S26" i="3"/>
  <c r="W28" i="3"/>
  <c r="U31" i="3"/>
  <c r="T6" i="3"/>
  <c r="T8" i="3"/>
  <c r="T10" i="3"/>
  <c r="T12" i="3"/>
  <c r="T14" i="3"/>
  <c r="T16" i="3"/>
  <c r="T18" i="3"/>
  <c r="T20" i="3"/>
  <c r="T22" i="3"/>
  <c r="T24" i="3"/>
  <c r="T26" i="3"/>
  <c r="S30" i="3"/>
  <c r="S34" i="3"/>
  <c r="U41" i="3"/>
  <c r="U49" i="3"/>
  <c r="U57" i="3"/>
  <c r="U65" i="3"/>
  <c r="T67" i="3"/>
  <c r="T65" i="3"/>
  <c r="T63" i="3"/>
  <c r="T61" i="3"/>
  <c r="T59" i="3"/>
  <c r="T57" i="3"/>
  <c r="T55" i="3"/>
  <c r="T53" i="3"/>
  <c r="T51" i="3"/>
  <c r="T49" i="3"/>
  <c r="T47" i="3"/>
  <c r="T45" i="3"/>
  <c r="T43" i="3"/>
  <c r="T41" i="3"/>
  <c r="T39" i="3"/>
  <c r="T37" i="3"/>
  <c r="T35" i="3"/>
  <c r="T33" i="3"/>
  <c r="T31" i="3"/>
  <c r="T29" i="3"/>
  <c r="T27" i="3"/>
  <c r="W67" i="3"/>
  <c r="W65" i="3"/>
  <c r="W63" i="3"/>
  <c r="W61" i="3"/>
  <c r="W59" i="3"/>
  <c r="W57" i="3"/>
  <c r="W55" i="3"/>
  <c r="W53" i="3"/>
  <c r="W51" i="3"/>
  <c r="W49" i="3"/>
  <c r="W47" i="3"/>
  <c r="W45" i="3"/>
  <c r="W43" i="3"/>
  <c r="W41" i="3"/>
  <c r="W39" i="3"/>
  <c r="W37" i="3"/>
  <c r="W35" i="3"/>
  <c r="V67" i="3"/>
  <c r="V65" i="3"/>
  <c r="V63" i="3"/>
  <c r="V61" i="3"/>
  <c r="V59" i="3"/>
  <c r="V57" i="3"/>
  <c r="V55" i="3"/>
  <c r="V53" i="3"/>
  <c r="V51" i="3"/>
  <c r="V49" i="3"/>
  <c r="V47" i="3"/>
  <c r="V45" i="3"/>
  <c r="V43" i="3"/>
  <c r="V42" i="3"/>
  <c r="R40" i="3"/>
  <c r="V37" i="3"/>
  <c r="R35" i="3"/>
  <c r="R33" i="3"/>
  <c r="U7" i="3"/>
  <c r="U11" i="3"/>
  <c r="U15" i="3"/>
  <c r="U19" i="3"/>
  <c r="U23" i="3"/>
  <c r="R27" i="3"/>
  <c r="W29" i="3"/>
  <c r="U32" i="3"/>
  <c r="V5" i="3"/>
  <c r="V7" i="3"/>
  <c r="V9" i="3"/>
  <c r="V11" i="3"/>
  <c r="V13" i="3"/>
  <c r="V15" i="3"/>
  <c r="V17" i="3"/>
  <c r="V19" i="3"/>
  <c r="V21" i="3"/>
  <c r="V23" i="3"/>
  <c r="V25" i="3"/>
  <c r="V28" i="3"/>
  <c r="W32" i="3"/>
  <c r="U38" i="3"/>
  <c r="U46" i="3"/>
  <c r="U54" i="3"/>
  <c r="U62" i="3"/>
  <c r="R42" i="3"/>
  <c r="V39" i="3"/>
  <c r="V36" i="3"/>
  <c r="V34" i="3"/>
  <c r="V32" i="3"/>
  <c r="U8" i="3"/>
  <c r="U12" i="3"/>
  <c r="U16" i="3"/>
  <c r="U20" i="3"/>
  <c r="U24" i="3"/>
  <c r="W27" i="3"/>
  <c r="U30" i="3"/>
  <c r="U33" i="3"/>
  <c r="R6" i="3"/>
  <c r="R8" i="3"/>
  <c r="R10" i="3"/>
  <c r="R12" i="3"/>
  <c r="R14" i="3"/>
  <c r="R16" i="3"/>
  <c r="R18" i="3"/>
  <c r="R20" i="3"/>
  <c r="R22" i="3"/>
  <c r="R24" i="3"/>
  <c r="R26" i="3"/>
  <c r="S29" i="3"/>
  <c r="W33" i="3"/>
  <c r="U40" i="3"/>
  <c r="U48" i="3"/>
  <c r="U56" i="3"/>
  <c r="U64" i="3"/>
  <c r="V41" i="3"/>
  <c r="V38" i="3"/>
  <c r="R36" i="3"/>
  <c r="R34" i="3"/>
  <c r="U5" i="3"/>
  <c r="U9" i="3"/>
  <c r="U13" i="3"/>
  <c r="U17" i="3"/>
  <c r="U21" i="3"/>
  <c r="U25" i="3"/>
  <c r="U28" i="3"/>
  <c r="R31" i="3"/>
  <c r="U34" i="3"/>
  <c r="V6" i="3"/>
  <c r="V8" i="3"/>
  <c r="V10" i="3"/>
  <c r="V12" i="3"/>
  <c r="V14" i="3"/>
  <c r="V16" i="3"/>
  <c r="V18" i="3"/>
  <c r="V20" i="3"/>
  <c r="V22" i="3"/>
  <c r="V24" i="3"/>
  <c r="V26" i="3"/>
  <c r="V30" i="3"/>
  <c r="W34" i="3"/>
  <c r="U42" i="3"/>
  <c r="U50" i="3"/>
  <c r="U58" i="3"/>
  <c r="U66" i="3"/>
  <c r="V40" i="3"/>
  <c r="R38" i="3"/>
  <c r="V35" i="3"/>
  <c r="V33" i="3"/>
  <c r="U6" i="3"/>
  <c r="U10" i="3"/>
  <c r="U14" i="3"/>
  <c r="U18" i="3"/>
  <c r="U22" i="3"/>
  <c r="U26" i="3"/>
  <c r="R29" i="3"/>
  <c r="W31" i="3"/>
  <c r="R5" i="3"/>
  <c r="R7" i="3"/>
  <c r="R9" i="3"/>
  <c r="R11" i="3"/>
  <c r="R13" i="3"/>
  <c r="R15" i="3"/>
  <c r="R17" i="3"/>
  <c r="R19" i="3"/>
  <c r="R21" i="3"/>
  <c r="R23" i="3"/>
  <c r="R25" i="3"/>
  <c r="S27" i="3"/>
  <c r="S31" i="3"/>
  <c r="U36" i="3"/>
  <c r="U44" i="3"/>
  <c r="U52" i="3"/>
  <c r="U60" i="3"/>
  <c r="U68" i="3"/>
  <c r="M8" i="3"/>
  <c r="D7" i="3"/>
  <c r="D6" i="3"/>
  <c r="D9" i="3"/>
  <c r="D54" i="3"/>
  <c r="D53" i="3"/>
  <c r="D44" i="3"/>
  <c r="D55" i="3"/>
  <c r="D66" i="3"/>
  <c r="D13" i="3"/>
  <c r="D61" i="3"/>
  <c r="D18" i="3"/>
  <c r="X5" i="3"/>
  <c r="D20" i="3"/>
  <c r="X6" i="3"/>
  <c r="D15" i="3"/>
  <c r="D17" i="3"/>
  <c r="B2" i="3"/>
  <c r="X4" i="3"/>
  <c r="D19" i="3"/>
  <c r="D14" i="3"/>
  <c r="D25" i="3"/>
  <c r="D24" i="3"/>
  <c r="D27" i="3"/>
  <c r="D42" i="3"/>
  <c r="D46" i="3"/>
  <c r="D28" i="3"/>
  <c r="D26" i="3"/>
  <c r="M6" i="3"/>
  <c r="M5" i="3"/>
  <c r="E6" i="3"/>
  <c r="B5" i="3"/>
  <c r="A5" i="3"/>
  <c r="L4" i="3"/>
  <c r="C5" i="3"/>
  <c r="I4" i="3"/>
  <c r="K4" i="3"/>
  <c r="M4" i="3"/>
  <c r="Q68" i="41"/>
  <c r="Q67" i="41"/>
  <c r="Q66" i="41"/>
  <c r="Q65" i="41"/>
  <c r="Q64" i="41"/>
  <c r="Q63" i="41"/>
  <c r="Q62" i="41"/>
  <c r="Q61" i="41"/>
  <c r="Q60" i="41"/>
  <c r="Q59" i="41"/>
  <c r="Q58" i="41"/>
  <c r="Q57" i="41"/>
  <c r="Q56" i="41"/>
  <c r="Q55" i="41"/>
  <c r="Q54" i="41"/>
  <c r="Q53" i="41"/>
  <c r="Q52" i="41"/>
  <c r="Q51" i="41"/>
  <c r="Q50" i="41"/>
  <c r="Q49" i="41"/>
  <c r="Q48" i="41"/>
  <c r="Q47" i="41"/>
  <c r="Q46" i="41"/>
  <c r="Q45" i="41"/>
  <c r="Q44" i="41"/>
  <c r="Q43" i="41"/>
  <c r="Q42" i="41"/>
  <c r="Q41" i="41"/>
  <c r="Q40" i="41"/>
  <c r="Q39" i="41"/>
  <c r="Q37" i="41"/>
  <c r="Q36" i="41"/>
  <c r="Q35" i="41"/>
  <c r="Q34" i="41"/>
  <c r="Q33" i="41"/>
  <c r="Q32" i="41"/>
  <c r="Q31" i="41"/>
  <c r="Q30" i="41"/>
  <c r="Q29" i="41"/>
  <c r="Q28" i="41"/>
  <c r="Q27" i="41"/>
  <c r="Q26" i="41"/>
  <c r="Q25" i="41"/>
  <c r="Q24" i="41"/>
  <c r="Q23" i="41"/>
  <c r="Q22" i="41"/>
  <c r="Q21" i="41"/>
  <c r="Q20" i="41"/>
  <c r="Q19" i="41"/>
  <c r="Q17" i="41"/>
  <c r="Q16" i="41"/>
  <c r="Q15" i="41"/>
  <c r="Q14" i="41"/>
  <c r="Q13" i="41"/>
  <c r="Q12" i="41"/>
  <c r="Q11" i="41"/>
  <c r="Q10" i="41"/>
  <c r="Q9" i="41"/>
  <c r="Q8" i="41"/>
  <c r="Q7" i="41"/>
  <c r="Q6" i="41"/>
  <c r="Q5" i="41"/>
  <c r="C4" i="41"/>
  <c r="Q38" i="41"/>
  <c r="M68" i="41"/>
  <c r="E68" i="41"/>
  <c r="D68" i="41"/>
  <c r="C68" i="41"/>
  <c r="B68" i="41"/>
  <c r="A68" i="41"/>
  <c r="M67" i="41"/>
  <c r="E67" i="41"/>
  <c r="D67" i="41"/>
  <c r="C67" i="41"/>
  <c r="B67" i="41"/>
  <c r="A67" i="41"/>
  <c r="M66" i="41"/>
  <c r="E66" i="41"/>
  <c r="C66" i="41"/>
  <c r="B66" i="41"/>
  <c r="A66" i="41"/>
  <c r="M65" i="41"/>
  <c r="E65" i="41"/>
  <c r="D65" i="41"/>
  <c r="C65" i="41"/>
  <c r="B65" i="41"/>
  <c r="A65" i="41"/>
  <c r="M64" i="41"/>
  <c r="E64" i="41"/>
  <c r="D64" i="41"/>
  <c r="C64" i="41"/>
  <c r="B64" i="41"/>
  <c r="A64" i="41"/>
  <c r="M63" i="41"/>
  <c r="E63" i="41"/>
  <c r="D63" i="41"/>
  <c r="A63" i="41"/>
  <c r="M62" i="41"/>
  <c r="E62" i="41"/>
  <c r="D62" i="41"/>
  <c r="C62" i="41"/>
  <c r="M61" i="41"/>
  <c r="E61" i="41"/>
  <c r="C61" i="41"/>
  <c r="B61" i="41"/>
  <c r="A61" i="41"/>
  <c r="M60" i="41"/>
  <c r="E60" i="41"/>
  <c r="D60" i="41"/>
  <c r="C60" i="41"/>
  <c r="B60" i="41"/>
  <c r="A60" i="41"/>
  <c r="M59" i="41"/>
  <c r="E59" i="41"/>
  <c r="D59" i="41"/>
  <c r="C59" i="41"/>
  <c r="B59" i="41"/>
  <c r="A59" i="41"/>
  <c r="M58" i="41"/>
  <c r="E58" i="41"/>
  <c r="D58" i="41"/>
  <c r="C58" i="41"/>
  <c r="B58" i="41"/>
  <c r="A58" i="41"/>
  <c r="M57" i="41"/>
  <c r="E57" i="41"/>
  <c r="D57" i="41"/>
  <c r="A57" i="41"/>
  <c r="M56" i="41"/>
  <c r="E56" i="41"/>
  <c r="D56" i="41"/>
  <c r="C56" i="41"/>
  <c r="M55" i="41"/>
  <c r="E55" i="41"/>
  <c r="C55" i="41"/>
  <c r="B55" i="41"/>
  <c r="A55" i="41"/>
  <c r="M54" i="41"/>
  <c r="E54" i="41"/>
  <c r="C54" i="41"/>
  <c r="B54" i="41"/>
  <c r="A54" i="41"/>
  <c r="M53" i="41"/>
  <c r="E53" i="41"/>
  <c r="C53" i="41"/>
  <c r="B53" i="41"/>
  <c r="A53" i="41"/>
  <c r="M52" i="41"/>
  <c r="E52" i="41"/>
  <c r="D52" i="41"/>
  <c r="B52" i="41"/>
  <c r="A52" i="41"/>
  <c r="M51" i="41"/>
  <c r="E51" i="41"/>
  <c r="D51" i="41"/>
  <c r="M50" i="41"/>
  <c r="E50" i="41"/>
  <c r="D50" i="41"/>
  <c r="M49" i="41"/>
  <c r="E49" i="41"/>
  <c r="D49" i="41"/>
  <c r="C49" i="41"/>
  <c r="B49" i="41"/>
  <c r="A49" i="41"/>
  <c r="M48" i="41"/>
  <c r="E48" i="41"/>
  <c r="D48" i="41"/>
  <c r="C48" i="41"/>
  <c r="B48" i="41"/>
  <c r="A48" i="41"/>
  <c r="M47" i="41"/>
  <c r="E47" i="41"/>
  <c r="D47" i="41"/>
  <c r="C47" i="41"/>
  <c r="B47" i="41"/>
  <c r="A47" i="41"/>
  <c r="M46" i="41"/>
  <c r="E46" i="41"/>
  <c r="C46" i="41"/>
  <c r="B46" i="41"/>
  <c r="A46" i="41"/>
  <c r="M45" i="41"/>
  <c r="E45" i="41"/>
  <c r="D45" i="41"/>
  <c r="C45" i="41"/>
  <c r="B45" i="41"/>
  <c r="A45" i="41"/>
  <c r="M44" i="41"/>
  <c r="E44" i="41"/>
  <c r="C44" i="41"/>
  <c r="B44" i="41"/>
  <c r="A44" i="41"/>
  <c r="M43" i="41"/>
  <c r="E43" i="41"/>
  <c r="D43" i="41"/>
  <c r="C43" i="41"/>
  <c r="B43" i="41"/>
  <c r="A43" i="41"/>
  <c r="M42" i="41"/>
  <c r="E42" i="41"/>
  <c r="C42" i="41"/>
  <c r="B42" i="41"/>
  <c r="A42" i="41"/>
  <c r="M41" i="41"/>
  <c r="E41" i="41"/>
  <c r="D41" i="41"/>
  <c r="B41" i="41"/>
  <c r="A41" i="41"/>
  <c r="M40" i="41"/>
  <c r="E40" i="41"/>
  <c r="D40" i="41"/>
  <c r="M39" i="41"/>
  <c r="E39" i="41"/>
  <c r="D39" i="41"/>
  <c r="C39" i="41"/>
  <c r="B39" i="41"/>
  <c r="A39" i="41"/>
  <c r="M38" i="41"/>
  <c r="B38" i="41"/>
  <c r="A38" i="41"/>
  <c r="M37" i="41"/>
  <c r="E37" i="41"/>
  <c r="D37" i="41"/>
  <c r="C37" i="41"/>
  <c r="B37" i="41"/>
  <c r="A37" i="41"/>
  <c r="M36" i="41"/>
  <c r="E36" i="41"/>
  <c r="D36" i="41"/>
  <c r="C36" i="41"/>
  <c r="B36" i="41"/>
  <c r="A36" i="41"/>
  <c r="M35" i="41"/>
  <c r="E35" i="41"/>
  <c r="D35" i="41"/>
  <c r="C35" i="41"/>
  <c r="B35" i="41"/>
  <c r="A35" i="41"/>
  <c r="M34" i="41"/>
  <c r="E34" i="41"/>
  <c r="D34" i="41"/>
  <c r="C34" i="41"/>
  <c r="B34" i="41"/>
  <c r="A34" i="41"/>
  <c r="M33" i="41"/>
  <c r="E33" i="41"/>
  <c r="D33" i="41"/>
  <c r="C33" i="41"/>
  <c r="B33" i="41"/>
  <c r="A33" i="41"/>
  <c r="M32" i="41"/>
  <c r="E32" i="41"/>
  <c r="D32" i="41"/>
  <c r="M31" i="41"/>
  <c r="E31" i="41"/>
  <c r="D31" i="41"/>
  <c r="C31" i="41"/>
  <c r="B31" i="41"/>
  <c r="A31" i="41"/>
  <c r="M30" i="41"/>
  <c r="E30" i="41"/>
  <c r="D30" i="41"/>
  <c r="C30" i="41"/>
  <c r="B30" i="41"/>
  <c r="A30" i="41"/>
  <c r="M29" i="41"/>
  <c r="E29" i="41"/>
  <c r="D29" i="41"/>
  <c r="C29" i="41"/>
  <c r="B29" i="41"/>
  <c r="A29" i="41"/>
  <c r="M28" i="41"/>
  <c r="E28" i="41"/>
  <c r="C28" i="41"/>
  <c r="B28" i="41"/>
  <c r="A28" i="41"/>
  <c r="M27" i="41"/>
  <c r="E27" i="41"/>
  <c r="C27" i="41"/>
  <c r="B27" i="41"/>
  <c r="A27" i="41"/>
  <c r="M26" i="41"/>
  <c r="E26" i="41"/>
  <c r="C26" i="41"/>
  <c r="B26" i="41"/>
  <c r="A26" i="41"/>
  <c r="M25" i="41"/>
  <c r="E25" i="41"/>
  <c r="C25" i="41"/>
  <c r="B25" i="41"/>
  <c r="A25" i="41"/>
  <c r="M24" i="41"/>
  <c r="E24" i="41"/>
  <c r="C24" i="41"/>
  <c r="B24" i="41"/>
  <c r="A24" i="41"/>
  <c r="M23" i="41"/>
  <c r="M22" i="41"/>
  <c r="E22" i="41"/>
  <c r="D22" i="41"/>
  <c r="C22" i="41"/>
  <c r="B22" i="41"/>
  <c r="A22" i="41"/>
  <c r="M21" i="41"/>
  <c r="E21" i="41"/>
  <c r="D21" i="41"/>
  <c r="C21" i="41"/>
  <c r="B21" i="41"/>
  <c r="A21" i="41"/>
  <c r="M20" i="41"/>
  <c r="E20" i="41"/>
  <c r="C20" i="41"/>
  <c r="B20" i="41"/>
  <c r="A20" i="41"/>
  <c r="M19" i="41"/>
  <c r="E19" i="41"/>
  <c r="C19" i="41"/>
  <c r="B19" i="41"/>
  <c r="A19" i="41"/>
  <c r="B18" i="41"/>
  <c r="A18" i="41"/>
  <c r="M17" i="41"/>
  <c r="E17" i="41"/>
  <c r="C17" i="41"/>
  <c r="B17" i="41"/>
  <c r="A17" i="41"/>
  <c r="M16" i="41"/>
  <c r="D16" i="41"/>
  <c r="M15" i="41"/>
  <c r="E15" i="41"/>
  <c r="C15" i="41"/>
  <c r="B15" i="41"/>
  <c r="A15" i="41"/>
  <c r="M14" i="41"/>
  <c r="E14" i="41"/>
  <c r="C14" i="41"/>
  <c r="B14" i="41"/>
  <c r="A14" i="41"/>
  <c r="M13" i="41"/>
  <c r="E13" i="41"/>
  <c r="C13" i="41"/>
  <c r="B13" i="41"/>
  <c r="A13" i="41"/>
  <c r="M12" i="41"/>
  <c r="E12" i="41"/>
  <c r="C12" i="41"/>
  <c r="B12" i="41"/>
  <c r="A12" i="41"/>
  <c r="M11" i="41"/>
  <c r="D11" i="41"/>
  <c r="B11" i="41"/>
  <c r="A11" i="41"/>
  <c r="M10" i="41"/>
  <c r="D10" i="41"/>
  <c r="E9" i="41"/>
  <c r="C9" i="41"/>
  <c r="M9" i="41"/>
  <c r="B9" i="41"/>
  <c r="A9" i="41"/>
  <c r="E8" i="41"/>
  <c r="C8" i="41"/>
  <c r="B8" i="41"/>
  <c r="A8" i="41"/>
  <c r="M7" i="41"/>
  <c r="E7" i="41"/>
  <c r="C7" i="41"/>
  <c r="B7" i="41"/>
  <c r="A7" i="41"/>
  <c r="M6" i="41"/>
  <c r="E6" i="41"/>
  <c r="C6" i="41"/>
  <c r="B6" i="41"/>
  <c r="A6" i="41"/>
  <c r="M5" i="41"/>
  <c r="B5" i="41"/>
  <c r="A5" i="41"/>
  <c r="B2" i="41"/>
  <c r="Q18" i="41"/>
  <c r="S30" i="41"/>
  <c r="T5" i="41"/>
  <c r="T7" i="41"/>
  <c r="T9" i="41"/>
  <c r="T11" i="41"/>
  <c r="T13" i="41"/>
  <c r="T15" i="41"/>
  <c r="T17" i="41"/>
  <c r="T19" i="41"/>
  <c r="T21" i="41"/>
  <c r="T23" i="41"/>
  <c r="T25" i="41"/>
  <c r="S28" i="41"/>
  <c r="X67" i="41"/>
  <c r="X65" i="41"/>
  <c r="X63" i="41"/>
  <c r="X61" i="41"/>
  <c r="X59" i="41"/>
  <c r="X57" i="41"/>
  <c r="X55" i="41"/>
  <c r="X53" i="41"/>
  <c r="X51" i="41"/>
  <c r="X49" i="41"/>
  <c r="X47" i="41"/>
  <c r="X45" i="41"/>
  <c r="X43" i="41"/>
  <c r="X41" i="41"/>
  <c r="X39" i="41"/>
  <c r="X37" i="41"/>
  <c r="X35" i="41"/>
  <c r="X33" i="41"/>
  <c r="X31" i="41"/>
  <c r="X29" i="41"/>
  <c r="X27" i="41"/>
  <c r="S68" i="41"/>
  <c r="S66" i="41"/>
  <c r="S64" i="41"/>
  <c r="S62" i="41"/>
  <c r="S60" i="41"/>
  <c r="S58" i="41"/>
  <c r="S56" i="41"/>
  <c r="S54" i="41"/>
  <c r="S52" i="41"/>
  <c r="S50" i="41"/>
  <c r="S48" i="41"/>
  <c r="S46" i="41"/>
  <c r="S44" i="41"/>
  <c r="S42" i="41"/>
  <c r="S40" i="41"/>
  <c r="S38" i="41"/>
  <c r="S36" i="41"/>
  <c r="S34" i="41"/>
  <c r="S32" i="41"/>
  <c r="R68" i="41"/>
  <c r="R66" i="41"/>
  <c r="R64" i="41"/>
  <c r="R62" i="41"/>
  <c r="R60" i="41"/>
  <c r="R58" i="41"/>
  <c r="R56" i="41"/>
  <c r="R54" i="41"/>
  <c r="R52" i="41"/>
  <c r="R50" i="41"/>
  <c r="R48" i="41"/>
  <c r="R46" i="41"/>
  <c r="R44" i="41"/>
  <c r="R42" i="41"/>
  <c r="R40" i="41"/>
  <c r="R38" i="41"/>
  <c r="R36" i="41"/>
  <c r="R34" i="41"/>
  <c r="R32" i="41"/>
  <c r="U68" i="41"/>
  <c r="U64" i="41"/>
  <c r="U60" i="41"/>
  <c r="U56" i="41"/>
  <c r="U52" i="41"/>
  <c r="U48" i="41"/>
  <c r="U44" i="41"/>
  <c r="U40" i="41"/>
  <c r="U36" i="41"/>
  <c r="U32" i="41"/>
  <c r="U6" i="41"/>
  <c r="U10" i="41"/>
  <c r="U14" i="41"/>
  <c r="X7" i="41"/>
  <c r="X9" i="41"/>
  <c r="X11" i="41"/>
  <c r="X13" i="41"/>
  <c r="X15" i="41"/>
  <c r="X17" i="41"/>
  <c r="X19" i="41"/>
  <c r="X21" i="41"/>
  <c r="X23" i="41"/>
  <c r="X25" i="41"/>
  <c r="V29" i="41"/>
  <c r="T67" i="41"/>
  <c r="T65" i="41"/>
  <c r="T63" i="41"/>
  <c r="T61" i="41"/>
  <c r="T59" i="41"/>
  <c r="T57" i="41"/>
  <c r="T55" i="41"/>
  <c r="T53" i="41"/>
  <c r="T51" i="41"/>
  <c r="T49" i="41"/>
  <c r="T47" i="41"/>
  <c r="T45" i="41"/>
  <c r="T43" i="41"/>
  <c r="T41" i="41"/>
  <c r="T39" i="41"/>
  <c r="T37" i="41"/>
  <c r="T35" i="41"/>
  <c r="T33" i="41"/>
  <c r="T31" i="41"/>
  <c r="T29" i="41"/>
  <c r="T27" i="41"/>
  <c r="W67" i="41"/>
  <c r="W65" i="41"/>
  <c r="W63" i="41"/>
  <c r="W61" i="41"/>
  <c r="W59" i="41"/>
  <c r="W57" i="41"/>
  <c r="W55" i="41"/>
  <c r="W53" i="41"/>
  <c r="W51" i="41"/>
  <c r="W49" i="41"/>
  <c r="W47" i="41"/>
  <c r="W45" i="41"/>
  <c r="W43" i="41"/>
  <c r="W41" i="41"/>
  <c r="W39" i="41"/>
  <c r="W37" i="41"/>
  <c r="W35" i="41"/>
  <c r="W33" i="41"/>
  <c r="W31" i="41"/>
  <c r="V67" i="41"/>
  <c r="V65" i="41"/>
  <c r="V63" i="41"/>
  <c r="V61" i="41"/>
  <c r="V59" i="41"/>
  <c r="V57" i="41"/>
  <c r="V55" i="41"/>
  <c r="V53" i="41"/>
  <c r="V51" i="41"/>
  <c r="V49" i="41"/>
  <c r="V47" i="41"/>
  <c r="V45" i="41"/>
  <c r="V43" i="41"/>
  <c r="V41" i="41"/>
  <c r="V39" i="41"/>
  <c r="V37" i="41"/>
  <c r="V35" i="41"/>
  <c r="V33" i="41"/>
  <c r="V31" i="41"/>
  <c r="U67" i="41"/>
  <c r="U63" i="41"/>
  <c r="U59" i="41"/>
  <c r="U55" i="41"/>
  <c r="U51" i="41"/>
  <c r="U47" i="41"/>
  <c r="U43" i="41"/>
  <c r="U39" i="41"/>
  <c r="T6" i="41"/>
  <c r="T8" i="41"/>
  <c r="T10" i="41"/>
  <c r="T12" i="41"/>
  <c r="T14" i="41"/>
  <c r="T16" i="41"/>
  <c r="T18" i="41"/>
  <c r="T20" i="41"/>
  <c r="T22" i="41"/>
  <c r="T24" i="41"/>
  <c r="T26" i="41"/>
  <c r="X68" i="41"/>
  <c r="X66" i="41"/>
  <c r="X64" i="41"/>
  <c r="X62" i="41"/>
  <c r="X60" i="41"/>
  <c r="X58" i="41"/>
  <c r="X56" i="41"/>
  <c r="X54" i="41"/>
  <c r="X52" i="41"/>
  <c r="X50" i="41"/>
  <c r="X48" i="41"/>
  <c r="X46" i="41"/>
  <c r="X44" i="41"/>
  <c r="X42" i="41"/>
  <c r="X40" i="41"/>
  <c r="X38" i="41"/>
  <c r="X36" i="41"/>
  <c r="X34" i="41"/>
  <c r="X32" i="41"/>
  <c r="X30" i="41"/>
  <c r="X28" i="41"/>
  <c r="X26" i="41"/>
  <c r="S67" i="41"/>
  <c r="S65" i="41"/>
  <c r="S63" i="41"/>
  <c r="S61" i="41"/>
  <c r="S59" i="41"/>
  <c r="S57" i="41"/>
  <c r="S55" i="41"/>
  <c r="S53" i="41"/>
  <c r="S51" i="41"/>
  <c r="S49" i="41"/>
  <c r="S47" i="41"/>
  <c r="S45" i="41"/>
  <c r="S43" i="41"/>
  <c r="S41" i="41"/>
  <c r="S39" i="41"/>
  <c r="S37" i="41"/>
  <c r="S35" i="41"/>
  <c r="S33" i="41"/>
  <c r="S31" i="41"/>
  <c r="R67" i="41"/>
  <c r="R65" i="41"/>
  <c r="R63" i="41"/>
  <c r="R61" i="41"/>
  <c r="R59" i="41"/>
  <c r="R57" i="41"/>
  <c r="R55" i="41"/>
  <c r="R53" i="41"/>
  <c r="R51" i="41"/>
  <c r="R49" i="41"/>
  <c r="R47" i="41"/>
  <c r="R45" i="41"/>
  <c r="R43" i="41"/>
  <c r="R41" i="41"/>
  <c r="R39" i="41"/>
  <c r="R37" i="41"/>
  <c r="R35" i="41"/>
  <c r="R33" i="41"/>
  <c r="R31" i="41"/>
  <c r="U66" i="41"/>
  <c r="U62" i="41"/>
  <c r="U58" i="41"/>
  <c r="U54" i="41"/>
  <c r="U50" i="41"/>
  <c r="U46" i="41"/>
  <c r="U42" i="41"/>
  <c r="U38" i="41"/>
  <c r="X6" i="41"/>
  <c r="X8" i="41"/>
  <c r="X10" i="41"/>
  <c r="X12" i="41"/>
  <c r="X14" i="41"/>
  <c r="X16" i="41"/>
  <c r="X18" i="41"/>
  <c r="X20" i="41"/>
  <c r="X22" i="41"/>
  <c r="X24" i="41"/>
  <c r="V27" i="41"/>
  <c r="T68" i="41"/>
  <c r="T66" i="41"/>
  <c r="T64" i="41"/>
  <c r="T62" i="41"/>
  <c r="T60" i="41"/>
  <c r="T58" i="41"/>
  <c r="T56" i="41"/>
  <c r="T54" i="41"/>
  <c r="T52" i="41"/>
  <c r="T50" i="41"/>
  <c r="T48" i="41"/>
  <c r="T46" i="41"/>
  <c r="T44" i="41"/>
  <c r="T42" i="41"/>
  <c r="T40" i="41"/>
  <c r="T38" i="41"/>
  <c r="T36" i="41"/>
  <c r="T34" i="41"/>
  <c r="T32" i="41"/>
  <c r="T30" i="41"/>
  <c r="T28" i="41"/>
  <c r="W68" i="41"/>
  <c r="W66" i="41"/>
  <c r="W64" i="41"/>
  <c r="W62" i="41"/>
  <c r="W60" i="41"/>
  <c r="W58" i="41"/>
  <c r="W56" i="41"/>
  <c r="W54" i="41"/>
  <c r="W52" i="41"/>
  <c r="W50" i="41"/>
  <c r="W48" i="41"/>
  <c r="W46" i="41"/>
  <c r="W44" i="41"/>
  <c r="W42" i="41"/>
  <c r="W40" i="41"/>
  <c r="W38" i="41"/>
  <c r="W36" i="41"/>
  <c r="W34" i="41"/>
  <c r="W32" i="41"/>
  <c r="V68" i="41"/>
  <c r="V66" i="41"/>
  <c r="V64" i="41"/>
  <c r="V62" i="41"/>
  <c r="V60" i="41"/>
  <c r="V58" i="41"/>
  <c r="V56" i="41"/>
  <c r="V54" i="41"/>
  <c r="V52" i="41"/>
  <c r="V50" i="41"/>
  <c r="V48" i="41"/>
  <c r="V46" i="41"/>
  <c r="V44" i="41"/>
  <c r="V42" i="41"/>
  <c r="V40" i="41"/>
  <c r="V38" i="41"/>
  <c r="V36" i="41"/>
  <c r="V34" i="41"/>
  <c r="V32" i="41"/>
  <c r="V30" i="41"/>
  <c r="U65" i="41"/>
  <c r="U61" i="41"/>
  <c r="U57" i="41"/>
  <c r="U53" i="41"/>
  <c r="U49" i="41"/>
  <c r="U45" i="41"/>
  <c r="U41" i="41"/>
  <c r="U37" i="41"/>
  <c r="U34" i="41"/>
  <c r="U5" i="41"/>
  <c r="U11" i="41"/>
  <c r="U16" i="41"/>
  <c r="U20" i="41"/>
  <c r="U24" i="41"/>
  <c r="W27" i="41"/>
  <c r="W30" i="41"/>
  <c r="V6" i="41"/>
  <c r="V8" i="41"/>
  <c r="V10" i="41"/>
  <c r="V12" i="41"/>
  <c r="V14" i="41"/>
  <c r="V16" i="41"/>
  <c r="V18" i="41"/>
  <c r="V20" i="41"/>
  <c r="V22" i="41"/>
  <c r="V24" i="41"/>
  <c r="V26" i="41"/>
  <c r="S5" i="41"/>
  <c r="S7" i="41"/>
  <c r="S9" i="41"/>
  <c r="S11" i="41"/>
  <c r="S13" i="41"/>
  <c r="S15" i="41"/>
  <c r="S17" i="41"/>
  <c r="S19" i="41"/>
  <c r="S21" i="41"/>
  <c r="S23" i="41"/>
  <c r="S25" i="41"/>
  <c r="U27" i="41"/>
  <c r="R30" i="41"/>
  <c r="U33" i="41"/>
  <c r="U7" i="41"/>
  <c r="U12" i="41"/>
  <c r="U17" i="41"/>
  <c r="U21" i="41"/>
  <c r="U25" i="41"/>
  <c r="U28" i="41"/>
  <c r="R5" i="41"/>
  <c r="R7" i="41"/>
  <c r="R9" i="41"/>
  <c r="R11" i="41"/>
  <c r="R13" i="41"/>
  <c r="R15" i="41"/>
  <c r="R17" i="41"/>
  <c r="R19" i="41"/>
  <c r="R21" i="41"/>
  <c r="R23" i="41"/>
  <c r="R25" i="41"/>
  <c r="S27" i="41"/>
  <c r="W5" i="41"/>
  <c r="W7" i="41"/>
  <c r="W9" i="41"/>
  <c r="W11" i="41"/>
  <c r="W13" i="41"/>
  <c r="W15" i="41"/>
  <c r="W17" i="41"/>
  <c r="W19" i="41"/>
  <c r="W21" i="41"/>
  <c r="W23" i="41"/>
  <c r="W25" i="41"/>
  <c r="R28" i="41"/>
  <c r="U31" i="41"/>
  <c r="U8" i="41"/>
  <c r="U13" i="41"/>
  <c r="U18" i="41"/>
  <c r="U22" i="41"/>
  <c r="U26" i="41"/>
  <c r="R29" i="41"/>
  <c r="V5" i="41"/>
  <c r="V7" i="41"/>
  <c r="V9" i="41"/>
  <c r="V11" i="41"/>
  <c r="V13" i="41"/>
  <c r="V15" i="41"/>
  <c r="V17" i="41"/>
  <c r="V19" i="41"/>
  <c r="V21" i="41"/>
  <c r="V23" i="41"/>
  <c r="V25" i="41"/>
  <c r="V28" i="41"/>
  <c r="S6" i="41"/>
  <c r="S8" i="41"/>
  <c r="S10" i="41"/>
  <c r="S12" i="41"/>
  <c r="S14" i="41"/>
  <c r="S16" i="41"/>
  <c r="S18" i="41"/>
  <c r="S20" i="41"/>
  <c r="S22" i="41"/>
  <c r="S24" i="41"/>
  <c r="S26" i="41"/>
  <c r="W28" i="41"/>
  <c r="U35" i="41"/>
  <c r="U30" i="41"/>
  <c r="U9" i="41"/>
  <c r="U15" i="41"/>
  <c r="U19" i="41"/>
  <c r="U23" i="41"/>
  <c r="R27" i="41"/>
  <c r="W29" i="41"/>
  <c r="R6" i="41"/>
  <c r="R8" i="41"/>
  <c r="R10" i="41"/>
  <c r="R12" i="41"/>
  <c r="R14" i="41"/>
  <c r="R16" i="41"/>
  <c r="R18" i="41"/>
  <c r="R20" i="41"/>
  <c r="R22" i="41"/>
  <c r="R24" i="41"/>
  <c r="R26" i="41"/>
  <c r="S29" i="41"/>
  <c r="W6" i="41"/>
  <c r="W8" i="41"/>
  <c r="W10" i="41"/>
  <c r="W12" i="41"/>
  <c r="W14" i="41"/>
  <c r="W16" i="41"/>
  <c r="W18" i="41"/>
  <c r="W20" i="41"/>
  <c r="W22" i="41"/>
  <c r="W24" i="41"/>
  <c r="W26" i="41"/>
  <c r="U29" i="41"/>
  <c r="M18" i="41"/>
  <c r="M8" i="41"/>
  <c r="W4" i="41"/>
  <c r="M4" i="41"/>
  <c r="D7" i="41"/>
  <c r="D6" i="41"/>
  <c r="D54" i="41"/>
  <c r="D53" i="41"/>
  <c r="D44" i="41"/>
  <c r="D55" i="41"/>
  <c r="D66" i="41"/>
  <c r="D13" i="41"/>
  <c r="D61" i="41"/>
  <c r="D20" i="41"/>
  <c r="D12" i="41"/>
  <c r="D15" i="41"/>
  <c r="D17" i="41"/>
  <c r="C5" i="41"/>
  <c r="I4" i="41"/>
  <c r="K4" i="41"/>
  <c r="D19" i="41"/>
  <c r="D14" i="41"/>
  <c r="D25" i="41"/>
  <c r="D24" i="41"/>
  <c r="D27" i="41"/>
  <c r="D42" i="41"/>
  <c r="D46" i="41"/>
  <c r="D28" i="41"/>
  <c r="D26" i="41"/>
  <c r="L4" i="41"/>
  <c r="X5" i="41"/>
  <c r="X4" i="41"/>
  <c r="Q68" i="37"/>
  <c r="Q67" i="37"/>
  <c r="Q66" i="37"/>
  <c r="Q65" i="37"/>
  <c r="Q64" i="37"/>
  <c r="Q63" i="37"/>
  <c r="Q62" i="37"/>
  <c r="Q61" i="37"/>
  <c r="Q60" i="37"/>
  <c r="Q59" i="37"/>
  <c r="Q58" i="37"/>
  <c r="Q57" i="37"/>
  <c r="Q56" i="37"/>
  <c r="Q55" i="37"/>
  <c r="Q54" i="37"/>
  <c r="Q53" i="37"/>
  <c r="Q52" i="37"/>
  <c r="Q51" i="37"/>
  <c r="Q50" i="37"/>
  <c r="Q49" i="37"/>
  <c r="Q48" i="37"/>
  <c r="Q47" i="37"/>
  <c r="Q46" i="37"/>
  <c r="Q45" i="37"/>
  <c r="Q44" i="37"/>
  <c r="Q43" i="37"/>
  <c r="Q42" i="37"/>
  <c r="Q41" i="37"/>
  <c r="Q40" i="37"/>
  <c r="Q39" i="37"/>
  <c r="Q37" i="37"/>
  <c r="Q36" i="37"/>
  <c r="Q35" i="37"/>
  <c r="Q34" i="37"/>
  <c r="Q33" i="37"/>
  <c r="Q32" i="37"/>
  <c r="Q31" i="37"/>
  <c r="Q30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Q15" i="37"/>
  <c r="Q14" i="37"/>
  <c r="Q12" i="37"/>
  <c r="Q11" i="37"/>
  <c r="Q10" i="37"/>
  <c r="Q9" i="37"/>
  <c r="Q8" i="37"/>
  <c r="Q7" i="37"/>
  <c r="Q6" i="37"/>
  <c r="Q5" i="37"/>
  <c r="C4" i="37"/>
  <c r="Q38" i="37"/>
  <c r="M68" i="37"/>
  <c r="E68" i="37"/>
  <c r="D68" i="37"/>
  <c r="C68" i="37"/>
  <c r="B68" i="37"/>
  <c r="A68" i="37"/>
  <c r="M67" i="37"/>
  <c r="E67" i="37"/>
  <c r="D67" i="37"/>
  <c r="C67" i="37"/>
  <c r="B67" i="37"/>
  <c r="A67" i="37"/>
  <c r="M66" i="37"/>
  <c r="E66" i="37"/>
  <c r="C66" i="37"/>
  <c r="B66" i="37"/>
  <c r="A66" i="37"/>
  <c r="M65" i="37"/>
  <c r="E65" i="37"/>
  <c r="D65" i="37"/>
  <c r="C65" i="37"/>
  <c r="B65" i="37"/>
  <c r="A65" i="37"/>
  <c r="M64" i="37"/>
  <c r="E64" i="37"/>
  <c r="D64" i="37"/>
  <c r="C64" i="37"/>
  <c r="B64" i="37"/>
  <c r="A64" i="37"/>
  <c r="M63" i="37"/>
  <c r="E63" i="37"/>
  <c r="D63" i="37"/>
  <c r="A63" i="37"/>
  <c r="M62" i="37"/>
  <c r="E62" i="37"/>
  <c r="D62" i="37"/>
  <c r="C62" i="37"/>
  <c r="M61" i="37"/>
  <c r="E61" i="37"/>
  <c r="C61" i="37"/>
  <c r="B61" i="37"/>
  <c r="A61" i="37"/>
  <c r="M60" i="37"/>
  <c r="E60" i="37"/>
  <c r="D60" i="37"/>
  <c r="C60" i="37"/>
  <c r="B60" i="37"/>
  <c r="A60" i="37"/>
  <c r="M59" i="37"/>
  <c r="E59" i="37"/>
  <c r="D59" i="37"/>
  <c r="C59" i="37"/>
  <c r="B59" i="37"/>
  <c r="A59" i="37"/>
  <c r="M58" i="37"/>
  <c r="E58" i="37"/>
  <c r="D58" i="37"/>
  <c r="C58" i="37"/>
  <c r="B58" i="37"/>
  <c r="A58" i="37"/>
  <c r="M57" i="37"/>
  <c r="E57" i="37"/>
  <c r="D57" i="37"/>
  <c r="A57" i="37"/>
  <c r="M56" i="37"/>
  <c r="E56" i="37"/>
  <c r="D56" i="37"/>
  <c r="C56" i="37"/>
  <c r="M55" i="37"/>
  <c r="E55" i="37"/>
  <c r="C55" i="37"/>
  <c r="B55" i="37"/>
  <c r="A55" i="37"/>
  <c r="M54" i="37"/>
  <c r="E54" i="37"/>
  <c r="C54" i="37"/>
  <c r="B54" i="37"/>
  <c r="A54" i="37"/>
  <c r="M53" i="37"/>
  <c r="E53" i="37"/>
  <c r="C53" i="37"/>
  <c r="B53" i="37"/>
  <c r="A53" i="37"/>
  <c r="M52" i="37"/>
  <c r="E52" i="37"/>
  <c r="D52" i="37"/>
  <c r="B52" i="37"/>
  <c r="A52" i="37"/>
  <c r="M51" i="37"/>
  <c r="E51" i="37"/>
  <c r="D51" i="37"/>
  <c r="M50" i="37"/>
  <c r="E50" i="37"/>
  <c r="D50" i="37"/>
  <c r="M49" i="37"/>
  <c r="E49" i="37"/>
  <c r="D49" i="37"/>
  <c r="C49" i="37"/>
  <c r="B49" i="37"/>
  <c r="A49" i="37"/>
  <c r="M48" i="37"/>
  <c r="E48" i="37"/>
  <c r="D48" i="37"/>
  <c r="C48" i="37"/>
  <c r="B48" i="37"/>
  <c r="A48" i="37"/>
  <c r="M47" i="37"/>
  <c r="E47" i="37"/>
  <c r="D47" i="37"/>
  <c r="C47" i="37"/>
  <c r="B47" i="37"/>
  <c r="A47" i="37"/>
  <c r="M46" i="37"/>
  <c r="E46" i="37"/>
  <c r="C46" i="37"/>
  <c r="B46" i="37"/>
  <c r="A46" i="37"/>
  <c r="M45" i="37"/>
  <c r="E45" i="37"/>
  <c r="D45" i="37"/>
  <c r="C45" i="37"/>
  <c r="B45" i="37"/>
  <c r="A45" i="37"/>
  <c r="M44" i="37"/>
  <c r="E44" i="37"/>
  <c r="C44" i="37"/>
  <c r="B44" i="37"/>
  <c r="A44" i="37"/>
  <c r="M43" i="37"/>
  <c r="E43" i="37"/>
  <c r="D43" i="37"/>
  <c r="C43" i="37"/>
  <c r="B43" i="37"/>
  <c r="A43" i="37"/>
  <c r="M42" i="37"/>
  <c r="E42" i="37"/>
  <c r="C42" i="37"/>
  <c r="B42" i="37"/>
  <c r="A42" i="37"/>
  <c r="M41" i="37"/>
  <c r="E41" i="37"/>
  <c r="D41" i="37"/>
  <c r="B41" i="37"/>
  <c r="A41" i="37"/>
  <c r="M40" i="37"/>
  <c r="E40" i="37"/>
  <c r="D40" i="37"/>
  <c r="M39" i="37"/>
  <c r="E39" i="37"/>
  <c r="D39" i="37"/>
  <c r="C39" i="37"/>
  <c r="B39" i="37"/>
  <c r="A39" i="37"/>
  <c r="M38" i="37"/>
  <c r="B38" i="37"/>
  <c r="A38" i="37"/>
  <c r="M37" i="37"/>
  <c r="E37" i="37"/>
  <c r="D37" i="37"/>
  <c r="C37" i="37"/>
  <c r="B37" i="37"/>
  <c r="A37" i="37"/>
  <c r="M36" i="37"/>
  <c r="E36" i="37"/>
  <c r="D36" i="37"/>
  <c r="C36" i="37"/>
  <c r="B36" i="37"/>
  <c r="A36" i="37"/>
  <c r="M35" i="37"/>
  <c r="E35" i="37"/>
  <c r="D35" i="37"/>
  <c r="C35" i="37"/>
  <c r="B35" i="37"/>
  <c r="A35" i="37"/>
  <c r="M34" i="37"/>
  <c r="E34" i="37"/>
  <c r="D34" i="37"/>
  <c r="C34" i="37"/>
  <c r="B34" i="37"/>
  <c r="A34" i="37"/>
  <c r="M33" i="37"/>
  <c r="E33" i="37"/>
  <c r="D33" i="37"/>
  <c r="C33" i="37"/>
  <c r="B33" i="37"/>
  <c r="A33" i="37"/>
  <c r="M32" i="37"/>
  <c r="E32" i="37"/>
  <c r="D32" i="37"/>
  <c r="M31" i="37"/>
  <c r="E31" i="37"/>
  <c r="D31" i="37"/>
  <c r="C31" i="37"/>
  <c r="B31" i="37"/>
  <c r="A31" i="37"/>
  <c r="M30" i="37"/>
  <c r="E30" i="37"/>
  <c r="D30" i="37"/>
  <c r="C30" i="37"/>
  <c r="B30" i="37"/>
  <c r="A30" i="37"/>
  <c r="M29" i="37"/>
  <c r="E29" i="37"/>
  <c r="D29" i="37"/>
  <c r="C29" i="37"/>
  <c r="B29" i="37"/>
  <c r="A29" i="37"/>
  <c r="M28" i="37"/>
  <c r="E28" i="37"/>
  <c r="C28" i="37"/>
  <c r="B28" i="37"/>
  <c r="A28" i="37"/>
  <c r="M27" i="37"/>
  <c r="E27" i="37"/>
  <c r="C27" i="37"/>
  <c r="B27" i="37"/>
  <c r="A27" i="37"/>
  <c r="M26" i="37"/>
  <c r="E26" i="37"/>
  <c r="C26" i="37"/>
  <c r="B26" i="37"/>
  <c r="A26" i="37"/>
  <c r="M25" i="37"/>
  <c r="E25" i="37"/>
  <c r="C25" i="37"/>
  <c r="B25" i="37"/>
  <c r="A25" i="37"/>
  <c r="M24" i="37"/>
  <c r="E24" i="37"/>
  <c r="C24" i="37"/>
  <c r="B24" i="37"/>
  <c r="A24" i="37"/>
  <c r="M23" i="37"/>
  <c r="M22" i="37"/>
  <c r="E22" i="37"/>
  <c r="D22" i="37"/>
  <c r="C22" i="37"/>
  <c r="B22" i="37"/>
  <c r="A22" i="37"/>
  <c r="M21" i="37"/>
  <c r="E21" i="37"/>
  <c r="D21" i="37"/>
  <c r="C21" i="37"/>
  <c r="B21" i="37"/>
  <c r="A21" i="37"/>
  <c r="M20" i="37"/>
  <c r="E20" i="37"/>
  <c r="C20" i="37"/>
  <c r="B20" i="37"/>
  <c r="A20" i="37"/>
  <c r="M19" i="37"/>
  <c r="E19" i="37"/>
  <c r="C19" i="37"/>
  <c r="B19" i="37"/>
  <c r="A19" i="37"/>
  <c r="M18" i="37"/>
  <c r="E18" i="37"/>
  <c r="C18" i="37"/>
  <c r="B18" i="37"/>
  <c r="A18" i="37"/>
  <c r="M17" i="37"/>
  <c r="E17" i="37"/>
  <c r="C17" i="37"/>
  <c r="B17" i="37"/>
  <c r="A17" i="37"/>
  <c r="M16" i="37"/>
  <c r="D16" i="37"/>
  <c r="M15" i="37"/>
  <c r="E15" i="37"/>
  <c r="C15" i="37"/>
  <c r="B15" i="37"/>
  <c r="A15" i="37"/>
  <c r="M14" i="37"/>
  <c r="E14" i="37"/>
  <c r="C14" i="37"/>
  <c r="B14" i="37"/>
  <c r="A14" i="37"/>
  <c r="B13" i="37"/>
  <c r="A13" i="37"/>
  <c r="M12" i="37"/>
  <c r="E12" i="37"/>
  <c r="C12" i="37"/>
  <c r="B12" i="37"/>
  <c r="A12" i="37"/>
  <c r="M11" i="37"/>
  <c r="D11" i="37"/>
  <c r="B11" i="37"/>
  <c r="A11" i="37"/>
  <c r="M10" i="37"/>
  <c r="D10" i="37"/>
  <c r="E9" i="37"/>
  <c r="C9" i="37"/>
  <c r="B9" i="37"/>
  <c r="A9" i="37"/>
  <c r="E8" i="37"/>
  <c r="C8" i="37"/>
  <c r="B8" i="37"/>
  <c r="A8" i="37"/>
  <c r="M7" i="37"/>
  <c r="E7" i="37"/>
  <c r="C7" i="37"/>
  <c r="B7" i="37"/>
  <c r="A7" i="37"/>
  <c r="M6" i="37"/>
  <c r="E6" i="37"/>
  <c r="C6" i="37"/>
  <c r="B6" i="37"/>
  <c r="A6" i="37"/>
  <c r="M5" i="37"/>
  <c r="B5" i="37"/>
  <c r="A5" i="37"/>
  <c r="B2" i="37"/>
  <c r="Q13" i="37"/>
  <c r="M9" i="37"/>
  <c r="V5" i="37"/>
  <c r="T5" i="37"/>
  <c r="T7" i="37"/>
  <c r="T9" i="37"/>
  <c r="T11" i="37"/>
  <c r="T13" i="37"/>
  <c r="T15" i="37"/>
  <c r="T17" i="37"/>
  <c r="T19" i="37"/>
  <c r="T21" i="37"/>
  <c r="T23" i="37"/>
  <c r="T25" i="37"/>
  <c r="S28" i="37"/>
  <c r="S32" i="37"/>
  <c r="V36" i="37"/>
  <c r="V40" i="37"/>
  <c r="V46" i="37"/>
  <c r="X68" i="37"/>
  <c r="X66" i="37"/>
  <c r="X64" i="37"/>
  <c r="X62" i="37"/>
  <c r="X60" i="37"/>
  <c r="X58" i="37"/>
  <c r="X56" i="37"/>
  <c r="X54" i="37"/>
  <c r="X52" i="37"/>
  <c r="X50" i="37"/>
  <c r="X48" i="37"/>
  <c r="X46" i="37"/>
  <c r="X44" i="37"/>
  <c r="X42" i="37"/>
  <c r="X40" i="37"/>
  <c r="X38" i="37"/>
  <c r="X36" i="37"/>
  <c r="X34" i="37"/>
  <c r="X32" i="37"/>
  <c r="X30" i="37"/>
  <c r="X28" i="37"/>
  <c r="X26" i="37"/>
  <c r="S67" i="37"/>
  <c r="S65" i="37"/>
  <c r="S63" i="37"/>
  <c r="S61" i="37"/>
  <c r="S59" i="37"/>
  <c r="S57" i="37"/>
  <c r="S55" i="37"/>
  <c r="S53" i="37"/>
  <c r="S51" i="37"/>
  <c r="S49" i="37"/>
  <c r="S47" i="37"/>
  <c r="S45" i="37"/>
  <c r="V68" i="37"/>
  <c r="V66" i="37"/>
  <c r="V64" i="37"/>
  <c r="V62" i="37"/>
  <c r="V60" i="37"/>
  <c r="V58" i="37"/>
  <c r="V56" i="37"/>
  <c r="U67" i="37"/>
  <c r="U63" i="37"/>
  <c r="U59" i="37"/>
  <c r="U55" i="37"/>
  <c r="U51" i="37"/>
  <c r="U47" i="37"/>
  <c r="U43" i="37"/>
  <c r="U39" i="37"/>
  <c r="U35" i="37"/>
  <c r="U8" i="37"/>
  <c r="U12" i="37"/>
  <c r="U16" i="37"/>
  <c r="U20" i="37"/>
  <c r="U24" i="37"/>
  <c r="W27" i="37"/>
  <c r="U30" i="37"/>
  <c r="R33" i="37"/>
  <c r="W36" i="37"/>
  <c r="W40" i="37"/>
  <c r="R44" i="37"/>
  <c r="R52" i="37"/>
  <c r="V7" i="37"/>
  <c r="V9" i="37"/>
  <c r="V11" i="37"/>
  <c r="V13" i="37"/>
  <c r="V15" i="37"/>
  <c r="V17" i="37"/>
  <c r="R5" i="37"/>
  <c r="X7" i="37"/>
  <c r="X9" i="37"/>
  <c r="X11" i="37"/>
  <c r="X13" i="37"/>
  <c r="X15" i="37"/>
  <c r="X17" i="37"/>
  <c r="X19" i="37"/>
  <c r="X21" i="37"/>
  <c r="X23" i="37"/>
  <c r="X25" i="37"/>
  <c r="V29" i="37"/>
  <c r="V33" i="37"/>
  <c r="S37" i="37"/>
  <c r="S41" i="37"/>
  <c r="R49" i="37"/>
  <c r="T68" i="37"/>
  <c r="T66" i="37"/>
  <c r="T64" i="37"/>
  <c r="T62" i="37"/>
  <c r="T60" i="37"/>
  <c r="T58" i="37"/>
  <c r="T56" i="37"/>
  <c r="T54" i="37"/>
  <c r="T52" i="37"/>
  <c r="T50" i="37"/>
  <c r="T48" i="37"/>
  <c r="T46" i="37"/>
  <c r="T44" i="37"/>
  <c r="T42" i="37"/>
  <c r="T40" i="37"/>
  <c r="T38" i="37"/>
  <c r="T36" i="37"/>
  <c r="T34" i="37"/>
  <c r="T32" i="37"/>
  <c r="T30" i="37"/>
  <c r="T28" i="37"/>
  <c r="W68" i="37"/>
  <c r="W66" i="37"/>
  <c r="W64" i="37"/>
  <c r="W62" i="37"/>
  <c r="W60" i="37"/>
  <c r="W58" i="37"/>
  <c r="W56" i="37"/>
  <c r="W54" i="37"/>
  <c r="W52" i="37"/>
  <c r="W50" i="37"/>
  <c r="W48" i="37"/>
  <c r="W46" i="37"/>
  <c r="W44" i="37"/>
  <c r="R68" i="37"/>
  <c r="R66" i="37"/>
  <c r="R64" i="37"/>
  <c r="R62" i="37"/>
  <c r="R60" i="37"/>
  <c r="R58" i="37"/>
  <c r="R56" i="37"/>
  <c r="U66" i="37"/>
  <c r="U62" i="37"/>
  <c r="U58" i="37"/>
  <c r="U54" i="37"/>
  <c r="U50" i="37"/>
  <c r="U46" i="37"/>
  <c r="U42" i="37"/>
  <c r="U38" i="37"/>
  <c r="U5" i="37"/>
  <c r="U9" i="37"/>
  <c r="U13" i="37"/>
  <c r="U17" i="37"/>
  <c r="U21" i="37"/>
  <c r="U25" i="37"/>
  <c r="U28" i="37"/>
  <c r="R31" i="37"/>
  <c r="W33" i="37"/>
  <c r="V37" i="37"/>
  <c r="V41" i="37"/>
  <c r="V45" i="37"/>
  <c r="V53" i="37"/>
  <c r="R8" i="37"/>
  <c r="R10" i="37"/>
  <c r="R12" i="37"/>
  <c r="R14" i="37"/>
  <c r="R16" i="37"/>
  <c r="R18" i="37"/>
  <c r="V54" i="37"/>
  <c r="X6" i="37"/>
  <c r="X8" i="37"/>
  <c r="X10" i="37"/>
  <c r="X12" i="37"/>
  <c r="X14" i="37"/>
  <c r="X16" i="37"/>
  <c r="X18" i="37"/>
  <c r="X20" i="37"/>
  <c r="X22" i="37"/>
  <c r="X24" i="37"/>
  <c r="V27" i="37"/>
  <c r="V31" i="37"/>
  <c r="W35" i="37"/>
  <c r="W39" i="37"/>
  <c r="R45" i="37"/>
  <c r="R53" i="37"/>
  <c r="T67" i="37"/>
  <c r="T65" i="37"/>
  <c r="T63" i="37"/>
  <c r="T61" i="37"/>
  <c r="T59" i="37"/>
  <c r="T57" i="37"/>
  <c r="T55" i="37"/>
  <c r="T53" i="37"/>
  <c r="T51" i="37"/>
  <c r="T49" i="37"/>
  <c r="T47" i="37"/>
  <c r="T45" i="37"/>
  <c r="T43" i="37"/>
  <c r="T41" i="37"/>
  <c r="T39" i="37"/>
  <c r="T37" i="37"/>
  <c r="T35" i="37"/>
  <c r="T33" i="37"/>
  <c r="T31" i="37"/>
  <c r="T29" i="37"/>
  <c r="T27" i="37"/>
  <c r="W67" i="37"/>
  <c r="W65" i="37"/>
  <c r="W63" i="37"/>
  <c r="W61" i="37"/>
  <c r="W59" i="37"/>
  <c r="W57" i="37"/>
  <c r="W55" i="37"/>
  <c r="W53" i="37"/>
  <c r="W51" i="37"/>
  <c r="W49" i="37"/>
  <c r="W47" i="37"/>
  <c r="W45" i="37"/>
  <c r="W43" i="37"/>
  <c r="R67" i="37"/>
  <c r="R65" i="37"/>
  <c r="R63" i="37"/>
  <c r="R61" i="37"/>
  <c r="R59" i="37"/>
  <c r="R57" i="37"/>
  <c r="U68" i="37"/>
  <c r="U64" i="37"/>
  <c r="U60" i="37"/>
  <c r="U56" i="37"/>
  <c r="U52" i="37"/>
  <c r="U48" i="37"/>
  <c r="U44" i="37"/>
  <c r="U40" i="37"/>
  <c r="U36" i="37"/>
  <c r="U7" i="37"/>
  <c r="U11" i="37"/>
  <c r="U15" i="37"/>
  <c r="U19" i="37"/>
  <c r="U23" i="37"/>
  <c r="R27" i="37"/>
  <c r="W29" i="37"/>
  <c r="U32" i="37"/>
  <c r="R35" i="37"/>
  <c r="R39" i="37"/>
  <c r="R43" i="37"/>
  <c r="V49" i="37"/>
  <c r="R7" i="37"/>
  <c r="R9" i="37"/>
  <c r="R11" i="37"/>
  <c r="R13" i="37"/>
  <c r="R15" i="37"/>
  <c r="R17" i="37"/>
  <c r="R19" i="37"/>
  <c r="R6" i="37"/>
  <c r="T12" i="37"/>
  <c r="T20" i="37"/>
  <c r="S30" i="37"/>
  <c r="V50" i="37"/>
  <c r="X61" i="37"/>
  <c r="X53" i="37"/>
  <c r="X45" i="37"/>
  <c r="X37" i="37"/>
  <c r="X29" i="37"/>
  <c r="S64" i="37"/>
  <c r="S56" i="37"/>
  <c r="S48" i="37"/>
  <c r="V65" i="37"/>
  <c r="V57" i="37"/>
  <c r="U57" i="37"/>
  <c r="U41" i="37"/>
  <c r="U14" i="37"/>
  <c r="R29" i="37"/>
  <c r="S42" i="37"/>
  <c r="V10" i="37"/>
  <c r="V18" i="37"/>
  <c r="R21" i="37"/>
  <c r="R23" i="37"/>
  <c r="R25" i="37"/>
  <c r="S27" i="37"/>
  <c r="S31" i="37"/>
  <c r="S35" i="37"/>
  <c r="S39" i="37"/>
  <c r="S43" i="37"/>
  <c r="R51" i="37"/>
  <c r="W5" i="37"/>
  <c r="W7" i="37"/>
  <c r="W9" i="37"/>
  <c r="W11" i="37"/>
  <c r="W13" i="37"/>
  <c r="W15" i="37"/>
  <c r="W17" i="37"/>
  <c r="W19" i="37"/>
  <c r="W21" i="37"/>
  <c r="W23" i="37"/>
  <c r="W25" i="37"/>
  <c r="R28" i="37"/>
  <c r="W30" i="37"/>
  <c r="U33" i="37"/>
  <c r="S36" i="37"/>
  <c r="S40" i="37"/>
  <c r="R46" i="37"/>
  <c r="R54" i="37"/>
  <c r="T6" i="37"/>
  <c r="T14" i="37"/>
  <c r="T22" i="37"/>
  <c r="S34" i="37"/>
  <c r="X67" i="37"/>
  <c r="X59" i="37"/>
  <c r="X51" i="37"/>
  <c r="X43" i="37"/>
  <c r="X35" i="37"/>
  <c r="X27" i="37"/>
  <c r="S62" i="37"/>
  <c r="S54" i="37"/>
  <c r="S46" i="37"/>
  <c r="V63" i="37"/>
  <c r="V55" i="37"/>
  <c r="U53" i="37"/>
  <c r="U37" i="37"/>
  <c r="U18" i="37"/>
  <c r="W31" i="37"/>
  <c r="R48" i="37"/>
  <c r="V12" i="37"/>
  <c r="V19" i="37"/>
  <c r="V21" i="37"/>
  <c r="V23" i="37"/>
  <c r="V25" i="37"/>
  <c r="V28" i="37"/>
  <c r="V32" i="37"/>
  <c r="R36" i="37"/>
  <c r="R40" i="37"/>
  <c r="V44" i="37"/>
  <c r="V52" i="37"/>
  <c r="S6" i="37"/>
  <c r="S8" i="37"/>
  <c r="S10" i="37"/>
  <c r="S12" i="37"/>
  <c r="S14" i="37"/>
  <c r="S16" i="37"/>
  <c r="S18" i="37"/>
  <c r="S20" i="37"/>
  <c r="S22" i="37"/>
  <c r="S24" i="37"/>
  <c r="S26" i="37"/>
  <c r="W28" i="37"/>
  <c r="U31" i="37"/>
  <c r="R34" i="37"/>
  <c r="R37" i="37"/>
  <c r="R41" i="37"/>
  <c r="V47" i="37"/>
  <c r="T8" i="37"/>
  <c r="T16" i="37"/>
  <c r="T24" i="37"/>
  <c r="R38" i="37"/>
  <c r="X65" i="37"/>
  <c r="X57" i="37"/>
  <c r="X49" i="37"/>
  <c r="X41" i="37"/>
  <c r="X33" i="37"/>
  <c r="S68" i="37"/>
  <c r="S60" i="37"/>
  <c r="S52" i="37"/>
  <c r="S44" i="37"/>
  <c r="V61" i="37"/>
  <c r="U65" i="37"/>
  <c r="U49" i="37"/>
  <c r="U6" i="37"/>
  <c r="U22" i="37"/>
  <c r="U34" i="37"/>
  <c r="V6" i="37"/>
  <c r="V14" i="37"/>
  <c r="R20" i="37"/>
  <c r="R22" i="37"/>
  <c r="R24" i="37"/>
  <c r="R26" i="37"/>
  <c r="S29" i="37"/>
  <c r="S33" i="37"/>
  <c r="W37" i="37"/>
  <c r="W41" i="37"/>
  <c r="R47" i="37"/>
  <c r="R55" i="37"/>
  <c r="W6" i="37"/>
  <c r="W8" i="37"/>
  <c r="W10" i="37"/>
  <c r="W12" i="37"/>
  <c r="W14" i="37"/>
  <c r="W16" i="37"/>
  <c r="W18" i="37"/>
  <c r="W20" i="37"/>
  <c r="W22" i="37"/>
  <c r="W24" i="37"/>
  <c r="W26" i="37"/>
  <c r="U29" i="37"/>
  <c r="R32" i="37"/>
  <c r="W34" i="37"/>
  <c r="W38" i="37"/>
  <c r="W42" i="37"/>
  <c r="R50" i="37"/>
  <c r="T10" i="37"/>
  <c r="T18" i="37"/>
  <c r="T26" i="37"/>
  <c r="R42" i="37"/>
  <c r="X63" i="37"/>
  <c r="X55" i="37"/>
  <c r="X47" i="37"/>
  <c r="X39" i="37"/>
  <c r="X31" i="37"/>
  <c r="S66" i="37"/>
  <c r="S58" i="37"/>
  <c r="S50" i="37"/>
  <c r="V67" i="37"/>
  <c r="V59" i="37"/>
  <c r="U61" i="37"/>
  <c r="U45" i="37"/>
  <c r="U10" i="37"/>
  <c r="U26" i="37"/>
  <c r="S38" i="37"/>
  <c r="V8" i="37"/>
  <c r="V16" i="37"/>
  <c r="V20" i="37"/>
  <c r="V22" i="37"/>
  <c r="V24" i="37"/>
  <c r="V26" i="37"/>
  <c r="V30" i="37"/>
  <c r="V34" i="37"/>
  <c r="V38" i="37"/>
  <c r="V42" i="37"/>
  <c r="V48" i="37"/>
  <c r="S5" i="37"/>
  <c r="S7" i="37"/>
  <c r="S9" i="37"/>
  <c r="S11" i="37"/>
  <c r="S13" i="37"/>
  <c r="S15" i="37"/>
  <c r="S17" i="37"/>
  <c r="S19" i="37"/>
  <c r="S21" i="37"/>
  <c r="S23" i="37"/>
  <c r="S25" i="37"/>
  <c r="U27" i="37"/>
  <c r="R30" i="37"/>
  <c r="W32" i="37"/>
  <c r="V35" i="37"/>
  <c r="V39" i="37"/>
  <c r="V43" i="37"/>
  <c r="V51" i="37"/>
  <c r="M13" i="37"/>
  <c r="M8" i="37"/>
  <c r="W4" i="37"/>
  <c r="M4" i="37"/>
  <c r="D7" i="37"/>
  <c r="D6" i="37"/>
  <c r="D54" i="37"/>
  <c r="D53" i="37"/>
  <c r="D44" i="37"/>
  <c r="D55" i="37"/>
  <c r="D66" i="37"/>
  <c r="D61" i="37"/>
  <c r="D18" i="37"/>
  <c r="D20" i="37"/>
  <c r="D12" i="37"/>
  <c r="D15" i="37"/>
  <c r="D17" i="37"/>
  <c r="C5" i="37"/>
  <c r="I4" i="37"/>
  <c r="K4" i="37"/>
  <c r="D19" i="37"/>
  <c r="D14" i="37"/>
  <c r="D25" i="37"/>
  <c r="D24" i="37"/>
  <c r="D27" i="37"/>
  <c r="D42" i="37"/>
  <c r="D46" i="37"/>
  <c r="D28" i="37"/>
  <c r="D26" i="37"/>
  <c r="X5" i="37"/>
  <c r="X4" i="37"/>
  <c r="L4" i="37"/>
  <c r="Q68" i="39"/>
  <c r="Q67" i="39"/>
  <c r="Q66" i="39"/>
  <c r="Q65" i="39"/>
  <c r="Q64" i="39"/>
  <c r="Q63" i="39"/>
  <c r="Q62" i="39"/>
  <c r="Q61" i="39"/>
  <c r="Q60" i="39"/>
  <c r="Q59" i="39"/>
  <c r="Q58" i="39"/>
  <c r="Q57" i="39"/>
  <c r="Q56" i="39"/>
  <c r="Q55" i="39"/>
  <c r="Q54" i="39"/>
  <c r="Q53" i="39"/>
  <c r="Q52" i="39"/>
  <c r="Q51" i="39"/>
  <c r="Q50" i="39"/>
  <c r="Q49" i="39"/>
  <c r="Q48" i="39"/>
  <c r="Q47" i="39"/>
  <c r="Q46" i="39"/>
  <c r="Q45" i="39"/>
  <c r="Q44" i="39"/>
  <c r="Q43" i="39"/>
  <c r="Q42" i="39"/>
  <c r="Q41" i="39"/>
  <c r="Q40" i="39"/>
  <c r="Q39" i="39"/>
  <c r="Q38" i="39"/>
  <c r="Q37" i="39"/>
  <c r="Q36" i="39"/>
  <c r="Q35" i="39"/>
  <c r="Q34" i="39"/>
  <c r="Q33" i="39"/>
  <c r="Q32" i="39"/>
  <c r="Q31" i="39"/>
  <c r="Q30" i="39"/>
  <c r="Q29" i="39"/>
  <c r="Q28" i="39"/>
  <c r="Q27" i="39"/>
  <c r="Q26" i="39"/>
  <c r="Q25" i="39"/>
  <c r="Q24" i="39"/>
  <c r="Q23" i="39"/>
  <c r="Q22" i="39"/>
  <c r="Q21" i="39"/>
  <c r="Q20" i="39"/>
  <c r="Q19" i="39"/>
  <c r="Q17" i="39"/>
  <c r="Q16" i="39"/>
  <c r="Q15" i="39"/>
  <c r="Q14" i="39"/>
  <c r="Q13" i="39"/>
  <c r="Q12" i="39"/>
  <c r="Q11" i="39"/>
  <c r="Q10" i="39"/>
  <c r="Q7" i="39"/>
  <c r="Q6" i="39"/>
  <c r="Q5" i="39"/>
  <c r="Q9" i="39"/>
  <c r="M68" i="39"/>
  <c r="E68" i="39"/>
  <c r="D68" i="39"/>
  <c r="C68" i="39"/>
  <c r="B68" i="39"/>
  <c r="A68" i="39"/>
  <c r="M67" i="39"/>
  <c r="E67" i="39"/>
  <c r="D67" i="39"/>
  <c r="C67" i="39"/>
  <c r="B67" i="39"/>
  <c r="A67" i="39"/>
  <c r="M66" i="39"/>
  <c r="E66" i="39"/>
  <c r="C66" i="39"/>
  <c r="B66" i="39"/>
  <c r="A66" i="39"/>
  <c r="M65" i="39"/>
  <c r="E65" i="39"/>
  <c r="D65" i="39"/>
  <c r="C65" i="39"/>
  <c r="B65" i="39"/>
  <c r="A65" i="39"/>
  <c r="M64" i="39"/>
  <c r="E64" i="39"/>
  <c r="D64" i="39"/>
  <c r="C64" i="39"/>
  <c r="B64" i="39"/>
  <c r="A64" i="39"/>
  <c r="M63" i="39"/>
  <c r="E63" i="39"/>
  <c r="D63" i="39"/>
  <c r="A63" i="39"/>
  <c r="M62" i="39"/>
  <c r="E62" i="39"/>
  <c r="D62" i="39"/>
  <c r="C62" i="39"/>
  <c r="M61" i="39"/>
  <c r="E61" i="39"/>
  <c r="C61" i="39"/>
  <c r="B61" i="39"/>
  <c r="A61" i="39"/>
  <c r="M60" i="39"/>
  <c r="E60" i="39"/>
  <c r="D60" i="39"/>
  <c r="C60" i="39"/>
  <c r="B60" i="39"/>
  <c r="A60" i="39"/>
  <c r="M59" i="39"/>
  <c r="E59" i="39"/>
  <c r="D59" i="39"/>
  <c r="C59" i="39"/>
  <c r="B59" i="39"/>
  <c r="A59" i="39"/>
  <c r="M58" i="39"/>
  <c r="E58" i="39"/>
  <c r="D58" i="39"/>
  <c r="C58" i="39"/>
  <c r="B58" i="39"/>
  <c r="A58" i="39"/>
  <c r="M57" i="39"/>
  <c r="E57" i="39"/>
  <c r="D57" i="39"/>
  <c r="A57" i="39"/>
  <c r="M56" i="39"/>
  <c r="E56" i="39"/>
  <c r="D56" i="39"/>
  <c r="C56" i="39"/>
  <c r="M55" i="39"/>
  <c r="E55" i="39"/>
  <c r="C55" i="39"/>
  <c r="B55" i="39"/>
  <c r="A55" i="39"/>
  <c r="M54" i="39"/>
  <c r="E54" i="39"/>
  <c r="C54" i="39"/>
  <c r="B54" i="39"/>
  <c r="A54" i="39"/>
  <c r="M53" i="39"/>
  <c r="E53" i="39"/>
  <c r="C53" i="39"/>
  <c r="B53" i="39"/>
  <c r="A53" i="39"/>
  <c r="M52" i="39"/>
  <c r="E52" i="39"/>
  <c r="D52" i="39"/>
  <c r="B52" i="39"/>
  <c r="A52" i="39"/>
  <c r="M51" i="39"/>
  <c r="E51" i="39"/>
  <c r="D51" i="39"/>
  <c r="M50" i="39"/>
  <c r="E50" i="39"/>
  <c r="D50" i="39"/>
  <c r="M49" i="39"/>
  <c r="E49" i="39"/>
  <c r="D49" i="39"/>
  <c r="C49" i="39"/>
  <c r="B49" i="39"/>
  <c r="A49" i="39"/>
  <c r="M48" i="39"/>
  <c r="E48" i="39"/>
  <c r="D48" i="39"/>
  <c r="C48" i="39"/>
  <c r="B48" i="39"/>
  <c r="A48" i="39"/>
  <c r="M47" i="39"/>
  <c r="E47" i="39"/>
  <c r="D47" i="39"/>
  <c r="C47" i="39"/>
  <c r="B47" i="39"/>
  <c r="A47" i="39"/>
  <c r="M46" i="39"/>
  <c r="E46" i="39"/>
  <c r="C46" i="39"/>
  <c r="B46" i="39"/>
  <c r="A46" i="39"/>
  <c r="M45" i="39"/>
  <c r="E45" i="39"/>
  <c r="D45" i="39"/>
  <c r="C45" i="39"/>
  <c r="B45" i="39"/>
  <c r="A45" i="39"/>
  <c r="M44" i="39"/>
  <c r="E44" i="39"/>
  <c r="C44" i="39"/>
  <c r="B44" i="39"/>
  <c r="A44" i="39"/>
  <c r="M43" i="39"/>
  <c r="E43" i="39"/>
  <c r="D43" i="39"/>
  <c r="C43" i="39"/>
  <c r="B43" i="39"/>
  <c r="A43" i="39"/>
  <c r="M42" i="39"/>
  <c r="E42" i="39"/>
  <c r="C42" i="39"/>
  <c r="B42" i="39"/>
  <c r="A42" i="39"/>
  <c r="M41" i="39"/>
  <c r="E41" i="39"/>
  <c r="D41" i="39"/>
  <c r="B41" i="39"/>
  <c r="A41" i="39"/>
  <c r="M40" i="39"/>
  <c r="E40" i="39"/>
  <c r="D40" i="39"/>
  <c r="M39" i="39"/>
  <c r="E39" i="39"/>
  <c r="D39" i="39"/>
  <c r="C39" i="39"/>
  <c r="B39" i="39"/>
  <c r="A39" i="39"/>
  <c r="M38" i="39"/>
  <c r="E38" i="39"/>
  <c r="D38" i="39"/>
  <c r="C38" i="39"/>
  <c r="B38" i="39"/>
  <c r="A38" i="39"/>
  <c r="M37" i="39"/>
  <c r="E37" i="39"/>
  <c r="D37" i="39"/>
  <c r="C37" i="39"/>
  <c r="B37" i="39"/>
  <c r="A37" i="39"/>
  <c r="M36" i="39"/>
  <c r="E36" i="39"/>
  <c r="D36" i="39"/>
  <c r="C36" i="39"/>
  <c r="B36" i="39"/>
  <c r="A36" i="39"/>
  <c r="M35" i="39"/>
  <c r="E35" i="39"/>
  <c r="D35" i="39"/>
  <c r="C35" i="39"/>
  <c r="B35" i="39"/>
  <c r="A35" i="39"/>
  <c r="M34" i="39"/>
  <c r="E34" i="39"/>
  <c r="D34" i="39"/>
  <c r="C34" i="39"/>
  <c r="B34" i="39"/>
  <c r="A34" i="39"/>
  <c r="M33" i="39"/>
  <c r="E33" i="39"/>
  <c r="D33" i="39"/>
  <c r="C33" i="39"/>
  <c r="B33" i="39"/>
  <c r="A33" i="39"/>
  <c r="M32" i="39"/>
  <c r="E32" i="39"/>
  <c r="D32" i="39"/>
  <c r="M31" i="39"/>
  <c r="E31" i="39"/>
  <c r="D31" i="39"/>
  <c r="C31" i="39"/>
  <c r="B31" i="39"/>
  <c r="A31" i="39"/>
  <c r="M30" i="39"/>
  <c r="E30" i="39"/>
  <c r="D30" i="39"/>
  <c r="C30" i="39"/>
  <c r="B30" i="39"/>
  <c r="A30" i="39"/>
  <c r="M29" i="39"/>
  <c r="E29" i="39"/>
  <c r="D29" i="39"/>
  <c r="C29" i="39"/>
  <c r="B29" i="39"/>
  <c r="A29" i="39"/>
  <c r="M28" i="39"/>
  <c r="E28" i="39"/>
  <c r="C28" i="39"/>
  <c r="B28" i="39"/>
  <c r="A28" i="39"/>
  <c r="M27" i="39"/>
  <c r="E27" i="39"/>
  <c r="C27" i="39"/>
  <c r="B27" i="39"/>
  <c r="A27" i="39"/>
  <c r="M26" i="39"/>
  <c r="E26" i="39"/>
  <c r="C26" i="39"/>
  <c r="B26" i="39"/>
  <c r="A26" i="39"/>
  <c r="M25" i="39"/>
  <c r="E25" i="39"/>
  <c r="C25" i="39"/>
  <c r="B25" i="39"/>
  <c r="A25" i="39"/>
  <c r="M24" i="39"/>
  <c r="E24" i="39"/>
  <c r="C24" i="39"/>
  <c r="B24" i="39"/>
  <c r="A24" i="39"/>
  <c r="M23" i="39"/>
  <c r="M22" i="39"/>
  <c r="E22" i="39"/>
  <c r="D22" i="39"/>
  <c r="C22" i="39"/>
  <c r="B22" i="39"/>
  <c r="A22" i="39"/>
  <c r="M21" i="39"/>
  <c r="E21" i="39"/>
  <c r="D21" i="39"/>
  <c r="C21" i="39"/>
  <c r="B21" i="39"/>
  <c r="A21" i="39"/>
  <c r="M20" i="39"/>
  <c r="E20" i="39"/>
  <c r="C20" i="39"/>
  <c r="B20" i="39"/>
  <c r="A20" i="39"/>
  <c r="M19" i="39"/>
  <c r="E19" i="39"/>
  <c r="C19" i="39"/>
  <c r="B19" i="39"/>
  <c r="A19" i="39"/>
  <c r="B18" i="39"/>
  <c r="A18" i="39"/>
  <c r="M17" i="39"/>
  <c r="E17" i="39"/>
  <c r="C17" i="39"/>
  <c r="B17" i="39"/>
  <c r="A17" i="39"/>
  <c r="M16" i="39"/>
  <c r="D16" i="39"/>
  <c r="M15" i="39"/>
  <c r="E15" i="39"/>
  <c r="C15" i="39"/>
  <c r="B15" i="39"/>
  <c r="A15" i="39"/>
  <c r="M14" i="39"/>
  <c r="E14" i="39"/>
  <c r="C14" i="39"/>
  <c r="B14" i="39"/>
  <c r="A14" i="39"/>
  <c r="M13" i="39"/>
  <c r="E13" i="39"/>
  <c r="C13" i="39"/>
  <c r="B13" i="39"/>
  <c r="A13" i="39"/>
  <c r="M12" i="39"/>
  <c r="E12" i="39"/>
  <c r="C12" i="39"/>
  <c r="B12" i="39"/>
  <c r="A12" i="39"/>
  <c r="M11" i="39"/>
  <c r="D11" i="39"/>
  <c r="B11" i="39"/>
  <c r="A11" i="39"/>
  <c r="M10" i="39"/>
  <c r="D10" i="39"/>
  <c r="B9" i="39"/>
  <c r="A9" i="39"/>
  <c r="B8" i="39"/>
  <c r="A8" i="39"/>
  <c r="M7" i="39"/>
  <c r="E7" i="39"/>
  <c r="C7" i="39"/>
  <c r="B7" i="39"/>
  <c r="A7" i="39"/>
  <c r="M6" i="39"/>
  <c r="E6" i="39"/>
  <c r="C6" i="39"/>
  <c r="B6" i="39"/>
  <c r="A6" i="39"/>
  <c r="M5" i="39"/>
  <c r="B5" i="39"/>
  <c r="A5" i="39"/>
  <c r="B2" i="39"/>
  <c r="C4" i="39"/>
  <c r="M9" i="39"/>
  <c r="Q8" i="39"/>
  <c r="M8" i="39"/>
  <c r="Q18" i="39"/>
  <c r="R26" i="39"/>
  <c r="T12" i="39"/>
  <c r="X53" i="39"/>
  <c r="S58" i="39"/>
  <c r="V68" i="39"/>
  <c r="V18" i="39"/>
  <c r="S26" i="39"/>
  <c r="T61" i="39"/>
  <c r="W65" i="39"/>
  <c r="W33" i="39"/>
  <c r="R17" i="39"/>
  <c r="W24" i="39"/>
  <c r="X62" i="39"/>
  <c r="S67" i="39"/>
  <c r="S35" i="39"/>
  <c r="V61" i="39"/>
  <c r="V9" i="39"/>
  <c r="V19" i="39"/>
  <c r="S7" i="39"/>
  <c r="S17" i="39"/>
  <c r="X17" i="39"/>
  <c r="T29" i="39"/>
  <c r="T60" i="39"/>
  <c r="T48" i="39"/>
  <c r="T38" i="39"/>
  <c r="W64" i="39"/>
  <c r="W52" i="39"/>
  <c r="W42" i="39"/>
  <c r="W32" i="39"/>
  <c r="R63" i="39"/>
  <c r="V53" i="39"/>
  <c r="V42" i="39"/>
  <c r="V30" i="39"/>
  <c r="U61" i="39"/>
  <c r="U45" i="39"/>
  <c r="U8" i="39"/>
  <c r="U24" i="39"/>
  <c r="R53" i="39"/>
  <c r="R44" i="39"/>
  <c r="R36" i="39"/>
  <c r="R28" i="39"/>
  <c r="U56" i="39"/>
  <c r="U40" i="39"/>
  <c r="U13" i="39"/>
  <c r="U29" i="39"/>
  <c r="V47" i="39"/>
  <c r="V39" i="39"/>
  <c r="V31" i="39"/>
  <c r="U63" i="39"/>
  <c r="U47" i="39"/>
  <c r="U6" i="39"/>
  <c r="U22" i="39"/>
  <c r="V51" i="39"/>
  <c r="R43" i="39"/>
  <c r="R35" i="39"/>
  <c r="R27" i="39"/>
  <c r="U54" i="39"/>
  <c r="U38" i="39"/>
  <c r="U15" i="39"/>
  <c r="U31" i="39"/>
  <c r="M18" i="39"/>
  <c r="R18" i="39"/>
  <c r="M4" i="39"/>
  <c r="U19" i="39"/>
  <c r="U34" i="39"/>
  <c r="U50" i="39"/>
  <c r="U66" i="39"/>
  <c r="R33" i="39"/>
  <c r="R41" i="39"/>
  <c r="R49" i="39"/>
  <c r="U26" i="39"/>
  <c r="U10" i="39"/>
  <c r="U43" i="39"/>
  <c r="U59" i="39"/>
  <c r="V29" i="39"/>
  <c r="V37" i="39"/>
  <c r="V45" i="39"/>
  <c r="V55" i="39"/>
  <c r="U17" i="39"/>
  <c r="U36" i="39"/>
  <c r="U52" i="39"/>
  <c r="U68" i="39"/>
  <c r="R34" i="39"/>
  <c r="R42" i="39"/>
  <c r="R50" i="39"/>
  <c r="U28" i="39"/>
  <c r="U12" i="39"/>
  <c r="U41" i="39"/>
  <c r="U57" i="39"/>
  <c r="V28" i="39"/>
  <c r="V38" i="39"/>
  <c r="R51" i="39"/>
  <c r="R61" i="39"/>
  <c r="W28" i="39"/>
  <c r="W40" i="39"/>
  <c r="W50" i="39"/>
  <c r="W60" i="39"/>
  <c r="T36" i="39"/>
  <c r="T46" i="39"/>
  <c r="T56" i="39"/>
  <c r="T68" i="39"/>
  <c r="X19" i="39"/>
  <c r="X9" i="39"/>
  <c r="S19" i="39"/>
  <c r="S9" i="39"/>
  <c r="V23" i="39"/>
  <c r="V11" i="39"/>
  <c r="V59" i="39"/>
  <c r="S31" i="39"/>
  <c r="S59" i="39"/>
  <c r="X54" i="39"/>
  <c r="T11" i="39"/>
  <c r="R25" i="39"/>
  <c r="R68" i="39"/>
  <c r="W57" i="39"/>
  <c r="T53" i="39"/>
  <c r="X12" i="39"/>
  <c r="X26" i="39"/>
  <c r="V60" i="39"/>
  <c r="S50" i="39"/>
  <c r="X45" i="39"/>
  <c r="T20" i="39"/>
  <c r="W9" i="39"/>
  <c r="U27" i="39"/>
  <c r="U11" i="39"/>
  <c r="U42" i="39"/>
  <c r="U58" i="39"/>
  <c r="R29" i="39"/>
  <c r="R37" i="39"/>
  <c r="R45" i="39"/>
  <c r="R54" i="39"/>
  <c r="U18" i="39"/>
  <c r="U35" i="39"/>
  <c r="U51" i="39"/>
  <c r="U67" i="39"/>
  <c r="V33" i="39"/>
  <c r="V41" i="39"/>
  <c r="V49" i="39"/>
  <c r="U25" i="39"/>
  <c r="U9" i="39"/>
  <c r="U44" i="39"/>
  <c r="U60" i="39"/>
  <c r="R30" i="39"/>
  <c r="R38" i="39"/>
  <c r="R46" i="39"/>
  <c r="R56" i="39"/>
  <c r="U20" i="39"/>
  <c r="U33" i="39"/>
  <c r="U49" i="39"/>
  <c r="U65" i="39"/>
  <c r="V34" i="39"/>
  <c r="V44" i="39"/>
  <c r="R55" i="39"/>
  <c r="R67" i="39"/>
  <c r="W34" i="39"/>
  <c r="W44" i="39"/>
  <c r="W56" i="39"/>
  <c r="W66" i="39"/>
  <c r="T40" i="39"/>
  <c r="T52" i="39"/>
  <c r="T62" i="39"/>
  <c r="X25" i="39"/>
  <c r="X13" i="39"/>
  <c r="S25" i="39"/>
  <c r="S15" i="39"/>
  <c r="X28" i="39"/>
  <c r="V17" i="39"/>
  <c r="V7" i="39"/>
  <c r="V65" i="39"/>
  <c r="S43" i="39"/>
  <c r="X38" i="39"/>
  <c r="T28" i="39"/>
  <c r="W16" i="39"/>
  <c r="R9" i="39"/>
  <c r="W41" i="39"/>
  <c r="T37" i="39"/>
  <c r="T31" i="39"/>
  <c r="S18" i="39"/>
  <c r="V10" i="39"/>
  <c r="S34" i="39"/>
  <c r="S66" i="39"/>
  <c r="X61" i="39"/>
  <c r="W25" i="39"/>
  <c r="T32" i="39"/>
  <c r="R12" i="39"/>
  <c r="R20" i="39"/>
  <c r="X29" i="39"/>
  <c r="W11" i="39"/>
  <c r="W19" i="39"/>
  <c r="T6" i="39"/>
  <c r="T14" i="39"/>
  <c r="T22" i="39"/>
  <c r="X67" i="39"/>
  <c r="X59" i="39"/>
  <c r="X51" i="39"/>
  <c r="X43" i="39"/>
  <c r="X35" i="39"/>
  <c r="S64" i="39"/>
  <c r="S56" i="39"/>
  <c r="S48" i="39"/>
  <c r="S40" i="39"/>
  <c r="S32" i="39"/>
  <c r="V66" i="39"/>
  <c r="V58" i="39"/>
  <c r="V50" i="39"/>
  <c r="V12" i="39"/>
  <c r="V20" i="39"/>
  <c r="X30" i="39"/>
  <c r="S12" i="39"/>
  <c r="S20" i="39"/>
  <c r="X6" i="39"/>
  <c r="X14" i="39"/>
  <c r="X22" i="39"/>
  <c r="T67" i="39"/>
  <c r="T59" i="39"/>
  <c r="T51" i="39"/>
  <c r="T43" i="39"/>
  <c r="T35" i="39"/>
  <c r="W63" i="39"/>
  <c r="W55" i="39"/>
  <c r="W47" i="39"/>
  <c r="W39" i="39"/>
  <c r="W31" i="39"/>
  <c r="R66" i="39"/>
  <c r="R58" i="39"/>
  <c r="R11" i="39"/>
  <c r="R19" i="39"/>
  <c r="X27" i="39"/>
  <c r="W10" i="39"/>
  <c r="W18" i="39"/>
  <c r="T5" i="39"/>
  <c r="T13" i="39"/>
  <c r="T21" i="39"/>
  <c r="X68" i="39"/>
  <c r="X60" i="39"/>
  <c r="X52" i="39"/>
  <c r="X44" i="39"/>
  <c r="X36" i="39"/>
  <c r="S65" i="39"/>
  <c r="S57" i="39"/>
  <c r="S49" i="39"/>
  <c r="S41" i="39"/>
  <c r="S33" i="39"/>
  <c r="V67" i="39"/>
  <c r="R6" i="39"/>
  <c r="R14" i="39"/>
  <c r="R22" i="39"/>
  <c r="W5" i="39"/>
  <c r="W13" i="39"/>
  <c r="W21" i="39"/>
  <c r="T8" i="39"/>
  <c r="T16" i="39"/>
  <c r="T24" i="39"/>
  <c r="X65" i="39"/>
  <c r="X57" i="39"/>
  <c r="X49" i="39"/>
  <c r="X41" i="39"/>
  <c r="X33" i="39"/>
  <c r="S62" i="39"/>
  <c r="S54" i="39"/>
  <c r="S46" i="39"/>
  <c r="S38" i="39"/>
  <c r="S30" i="39"/>
  <c r="V64" i="39"/>
  <c r="V56" i="39"/>
  <c r="V6" i="39"/>
  <c r="V14" i="39"/>
  <c r="V22" i="39"/>
  <c r="S6" i="39"/>
  <c r="S14" i="39"/>
  <c r="S22" i="39"/>
  <c r="X8" i="39"/>
  <c r="X16" i="39"/>
  <c r="X24" i="39"/>
  <c r="T65" i="39"/>
  <c r="T57" i="39"/>
  <c r="T49" i="39"/>
  <c r="T41" i="39"/>
  <c r="T33" i="39"/>
  <c r="W61" i="39"/>
  <c r="W53" i="39"/>
  <c r="W45" i="39"/>
  <c r="W37" i="39"/>
  <c r="W29" i="39"/>
  <c r="R64" i="39"/>
  <c r="R5" i="39"/>
  <c r="R13" i="39"/>
  <c r="R21" i="39"/>
  <c r="X31" i="39"/>
  <c r="W12" i="39"/>
  <c r="W20" i="39"/>
  <c r="T7" i="39"/>
  <c r="T15" i="39"/>
  <c r="T23" i="39"/>
  <c r="X66" i="39"/>
  <c r="X58" i="39"/>
  <c r="X50" i="39"/>
  <c r="X42" i="39"/>
  <c r="X34" i="39"/>
  <c r="S63" i="39"/>
  <c r="S55" i="39"/>
  <c r="S47" i="39"/>
  <c r="S39" i="39"/>
  <c r="R8" i="39"/>
  <c r="R16" i="39"/>
  <c r="R24" i="39"/>
  <c r="W7" i="39"/>
  <c r="W15" i="39"/>
  <c r="W23" i="39"/>
  <c r="T10" i="39"/>
  <c r="T18" i="39"/>
  <c r="T26" i="39"/>
  <c r="X63" i="39"/>
  <c r="X55" i="39"/>
  <c r="X47" i="39"/>
  <c r="X39" i="39"/>
  <c r="S68" i="39"/>
  <c r="S60" i="39"/>
  <c r="S52" i="39"/>
  <c r="S44" i="39"/>
  <c r="S36" i="39"/>
  <c r="S28" i="39"/>
  <c r="V62" i="39"/>
  <c r="V54" i="39"/>
  <c r="V8" i="39"/>
  <c r="V16" i="39"/>
  <c r="V24" i="39"/>
  <c r="S8" i="39"/>
  <c r="S16" i="39"/>
  <c r="S24" i="39"/>
  <c r="X10" i="39"/>
  <c r="X18" i="39"/>
  <c r="T27" i="39"/>
  <c r="T63" i="39"/>
  <c r="T55" i="39"/>
  <c r="T47" i="39"/>
  <c r="T39" i="39"/>
  <c r="W67" i="39"/>
  <c r="W59" i="39"/>
  <c r="W51" i="39"/>
  <c r="W43" i="39"/>
  <c r="W35" i="39"/>
  <c r="W27" i="39"/>
  <c r="R62" i="39"/>
  <c r="R7" i="39"/>
  <c r="R15" i="39"/>
  <c r="R23" i="39"/>
  <c r="W6" i="39"/>
  <c r="W14" i="39"/>
  <c r="W22" i="39"/>
  <c r="T9" i="39"/>
  <c r="T17" i="39"/>
  <c r="T25" i="39"/>
  <c r="X64" i="39"/>
  <c r="X56" i="39"/>
  <c r="X48" i="39"/>
  <c r="X40" i="39"/>
  <c r="X32" i="39"/>
  <c r="S61" i="39"/>
  <c r="S53" i="39"/>
  <c r="S45" i="39"/>
  <c r="S37" i="39"/>
  <c r="S29" i="39"/>
  <c r="V63" i="39"/>
  <c r="V5" i="39"/>
  <c r="V13" i="39"/>
  <c r="V21" i="39"/>
  <c r="S5" i="39"/>
  <c r="S13" i="39"/>
  <c r="S21" i="39"/>
  <c r="X15" i="39"/>
  <c r="X23" i="39"/>
  <c r="T66" i="39"/>
  <c r="T58" i="39"/>
  <c r="T50" i="39"/>
  <c r="T42" i="39"/>
  <c r="T34" i="39"/>
  <c r="W62" i="39"/>
  <c r="W54" i="39"/>
  <c r="W46" i="39"/>
  <c r="W38" i="39"/>
  <c r="W30" i="39"/>
  <c r="R65" i="39"/>
  <c r="R57" i="39"/>
  <c r="V48" i="39"/>
  <c r="V40" i="39"/>
  <c r="V32" i="39"/>
  <c r="U23" i="39"/>
  <c r="U7" i="39"/>
  <c r="U46" i="39"/>
  <c r="U62" i="39"/>
  <c r="R31" i="39"/>
  <c r="R39" i="39"/>
  <c r="R47" i="39"/>
  <c r="U30" i="39"/>
  <c r="U14" i="39"/>
  <c r="U39" i="39"/>
  <c r="U55" i="39"/>
  <c r="V27" i="39"/>
  <c r="V35" i="39"/>
  <c r="V43" i="39"/>
  <c r="R52" i="39"/>
  <c r="U21" i="39"/>
  <c r="U5" i="39"/>
  <c r="U48" i="39"/>
  <c r="U64" i="39"/>
  <c r="R32" i="39"/>
  <c r="R40" i="39"/>
  <c r="R48" i="39"/>
  <c r="U32" i="39"/>
  <c r="U16" i="39"/>
  <c r="U37" i="39"/>
  <c r="U53" i="39"/>
  <c r="V26" i="39"/>
  <c r="V36" i="39"/>
  <c r="V46" i="39"/>
  <c r="R59" i="39"/>
  <c r="W26" i="39"/>
  <c r="W36" i="39"/>
  <c r="W48" i="39"/>
  <c r="W58" i="39"/>
  <c r="W68" i="39"/>
  <c r="T44" i="39"/>
  <c r="T54" i="39"/>
  <c r="T64" i="39"/>
  <c r="X21" i="39"/>
  <c r="X11" i="39"/>
  <c r="S23" i="39"/>
  <c r="S11" i="39"/>
  <c r="V25" i="39"/>
  <c r="V15" i="39"/>
  <c r="V57" i="39"/>
  <c r="S27" i="39"/>
  <c r="S51" i="39"/>
  <c r="X46" i="39"/>
  <c r="T19" i="39"/>
  <c r="W8" i="39"/>
  <c r="R60" i="39"/>
  <c r="W49" i="39"/>
  <c r="T45" i="39"/>
  <c r="X20" i="39"/>
  <c r="S10" i="39"/>
  <c r="V52" i="39"/>
  <c r="S42" i="39"/>
  <c r="X37" i="39"/>
  <c r="T30" i="39"/>
  <c r="W17" i="39"/>
  <c r="R10" i="39"/>
  <c r="W4" i="39"/>
  <c r="D7" i="39"/>
  <c r="D6" i="39"/>
  <c r="D54" i="39"/>
  <c r="D53" i="39"/>
  <c r="D44" i="39"/>
  <c r="D55" i="39"/>
  <c r="D66" i="39"/>
  <c r="D13" i="39"/>
  <c r="D61" i="39"/>
  <c r="X7" i="39"/>
  <c r="D20" i="39"/>
  <c r="D12" i="39"/>
  <c r="D15" i="39"/>
  <c r="D17" i="39"/>
  <c r="X5" i="39"/>
  <c r="X4" i="39"/>
  <c r="C5" i="39"/>
  <c r="I4" i="39"/>
  <c r="K4" i="39"/>
  <c r="D19" i="39"/>
  <c r="D14" i="39"/>
  <c r="D25" i="39"/>
  <c r="D24" i="39"/>
  <c r="D27" i="39"/>
  <c r="D42" i="39"/>
  <c r="D46" i="39"/>
  <c r="D28" i="39"/>
  <c r="D26" i="39"/>
  <c r="L4" i="39"/>
  <c r="Q68" i="35"/>
  <c r="Q67" i="35"/>
  <c r="Q66" i="35"/>
  <c r="Q65" i="35"/>
  <c r="Q64" i="35"/>
  <c r="Q63" i="35"/>
  <c r="Q62" i="35"/>
  <c r="Q61" i="35"/>
  <c r="Q60" i="35"/>
  <c r="Q59" i="35"/>
  <c r="Q58" i="35"/>
  <c r="Q57" i="35"/>
  <c r="Q56" i="35"/>
  <c r="Q55" i="35"/>
  <c r="Q54" i="35"/>
  <c r="Q53" i="35"/>
  <c r="Q52" i="35"/>
  <c r="Q51" i="35"/>
  <c r="Q50" i="35"/>
  <c r="Q49" i="35"/>
  <c r="Q48" i="35"/>
  <c r="Q47" i="35"/>
  <c r="Q46" i="35"/>
  <c r="Q45" i="35"/>
  <c r="Q44" i="35"/>
  <c r="Q43" i="35"/>
  <c r="Q42" i="35"/>
  <c r="Q41" i="35"/>
  <c r="Q40" i="35"/>
  <c r="Q39" i="35"/>
  <c r="Q38" i="35"/>
  <c r="Q37" i="35"/>
  <c r="Q36" i="35"/>
  <c r="Q35" i="35"/>
  <c r="Q34" i="35"/>
  <c r="Q33" i="35"/>
  <c r="Q32" i="35"/>
  <c r="Q31" i="35"/>
  <c r="Q30" i="35"/>
  <c r="Q29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2" i="35"/>
  <c r="Q11" i="35"/>
  <c r="Q10" i="35"/>
  <c r="Q7" i="35"/>
  <c r="Q6" i="35"/>
  <c r="Q5" i="35"/>
  <c r="Q9" i="35"/>
  <c r="Q8" i="35"/>
  <c r="C4" i="35"/>
  <c r="M68" i="35"/>
  <c r="E68" i="35"/>
  <c r="D68" i="35"/>
  <c r="C68" i="35"/>
  <c r="B68" i="35"/>
  <c r="A68" i="35"/>
  <c r="M67" i="35"/>
  <c r="E67" i="35"/>
  <c r="D67" i="35"/>
  <c r="C67" i="35"/>
  <c r="B67" i="35"/>
  <c r="A67" i="35"/>
  <c r="M66" i="35"/>
  <c r="E66" i="35"/>
  <c r="C66" i="35"/>
  <c r="B66" i="35"/>
  <c r="A66" i="35"/>
  <c r="M65" i="35"/>
  <c r="E65" i="35"/>
  <c r="D65" i="35"/>
  <c r="C65" i="35"/>
  <c r="B65" i="35"/>
  <c r="A65" i="35"/>
  <c r="M64" i="35"/>
  <c r="E64" i="35"/>
  <c r="D64" i="35"/>
  <c r="C64" i="35"/>
  <c r="B64" i="35"/>
  <c r="A64" i="35"/>
  <c r="M63" i="35"/>
  <c r="E63" i="35"/>
  <c r="D63" i="35"/>
  <c r="A63" i="35"/>
  <c r="M62" i="35"/>
  <c r="E62" i="35"/>
  <c r="D62" i="35"/>
  <c r="C62" i="35"/>
  <c r="M61" i="35"/>
  <c r="E61" i="35"/>
  <c r="C61" i="35"/>
  <c r="B61" i="35"/>
  <c r="A61" i="35"/>
  <c r="M60" i="35"/>
  <c r="E60" i="35"/>
  <c r="D60" i="35"/>
  <c r="C60" i="35"/>
  <c r="B60" i="35"/>
  <c r="A60" i="35"/>
  <c r="M59" i="35"/>
  <c r="E59" i="35"/>
  <c r="D59" i="35"/>
  <c r="C59" i="35"/>
  <c r="B59" i="35"/>
  <c r="A59" i="35"/>
  <c r="M58" i="35"/>
  <c r="E58" i="35"/>
  <c r="D58" i="35"/>
  <c r="C58" i="35"/>
  <c r="B58" i="35"/>
  <c r="A58" i="35"/>
  <c r="M57" i="35"/>
  <c r="E57" i="35"/>
  <c r="D57" i="35"/>
  <c r="A57" i="35"/>
  <c r="M56" i="35"/>
  <c r="E56" i="35"/>
  <c r="D56" i="35"/>
  <c r="C56" i="35"/>
  <c r="M55" i="35"/>
  <c r="E55" i="35"/>
  <c r="C55" i="35"/>
  <c r="B55" i="35"/>
  <c r="A55" i="35"/>
  <c r="M54" i="35"/>
  <c r="E54" i="35"/>
  <c r="C54" i="35"/>
  <c r="B54" i="35"/>
  <c r="A54" i="35"/>
  <c r="M53" i="35"/>
  <c r="E53" i="35"/>
  <c r="C53" i="35"/>
  <c r="B53" i="35"/>
  <c r="A53" i="35"/>
  <c r="M52" i="35"/>
  <c r="E52" i="35"/>
  <c r="D52" i="35"/>
  <c r="B52" i="35"/>
  <c r="A52" i="35"/>
  <c r="M51" i="35"/>
  <c r="E51" i="35"/>
  <c r="D51" i="35"/>
  <c r="M50" i="35"/>
  <c r="E50" i="35"/>
  <c r="D50" i="35"/>
  <c r="M49" i="35"/>
  <c r="E49" i="35"/>
  <c r="D49" i="35"/>
  <c r="C49" i="35"/>
  <c r="B49" i="35"/>
  <c r="A49" i="35"/>
  <c r="M48" i="35"/>
  <c r="E48" i="35"/>
  <c r="D48" i="35"/>
  <c r="C48" i="35"/>
  <c r="B48" i="35"/>
  <c r="A48" i="35"/>
  <c r="M47" i="35"/>
  <c r="E47" i="35"/>
  <c r="D47" i="35"/>
  <c r="C47" i="35"/>
  <c r="B47" i="35"/>
  <c r="A47" i="35"/>
  <c r="M46" i="35"/>
  <c r="E46" i="35"/>
  <c r="C46" i="35"/>
  <c r="B46" i="35"/>
  <c r="A46" i="35"/>
  <c r="M45" i="35"/>
  <c r="E45" i="35"/>
  <c r="D45" i="35"/>
  <c r="C45" i="35"/>
  <c r="B45" i="35"/>
  <c r="A45" i="35"/>
  <c r="M44" i="35"/>
  <c r="E44" i="35"/>
  <c r="C44" i="35"/>
  <c r="B44" i="35"/>
  <c r="A44" i="35"/>
  <c r="M43" i="35"/>
  <c r="E43" i="35"/>
  <c r="D43" i="35"/>
  <c r="C43" i="35"/>
  <c r="B43" i="35"/>
  <c r="A43" i="35"/>
  <c r="M42" i="35"/>
  <c r="E42" i="35"/>
  <c r="C42" i="35"/>
  <c r="B42" i="35"/>
  <c r="A42" i="35"/>
  <c r="M41" i="35"/>
  <c r="E41" i="35"/>
  <c r="D41" i="35"/>
  <c r="B41" i="35"/>
  <c r="A41" i="35"/>
  <c r="M40" i="35"/>
  <c r="E40" i="35"/>
  <c r="D40" i="35"/>
  <c r="M39" i="35"/>
  <c r="E39" i="35"/>
  <c r="D39" i="35"/>
  <c r="C39" i="35"/>
  <c r="B39" i="35"/>
  <c r="A39" i="35"/>
  <c r="M38" i="35"/>
  <c r="E38" i="35"/>
  <c r="D38" i="35"/>
  <c r="C38" i="35"/>
  <c r="B38" i="35"/>
  <c r="A38" i="35"/>
  <c r="M37" i="35"/>
  <c r="E37" i="35"/>
  <c r="D37" i="35"/>
  <c r="C37" i="35"/>
  <c r="B37" i="35"/>
  <c r="A37" i="35"/>
  <c r="M36" i="35"/>
  <c r="E36" i="35"/>
  <c r="D36" i="35"/>
  <c r="C36" i="35"/>
  <c r="B36" i="35"/>
  <c r="A36" i="35"/>
  <c r="M35" i="35"/>
  <c r="E35" i="35"/>
  <c r="D35" i="35"/>
  <c r="C35" i="35"/>
  <c r="B35" i="35"/>
  <c r="A35" i="35"/>
  <c r="M34" i="35"/>
  <c r="E34" i="35"/>
  <c r="D34" i="35"/>
  <c r="C34" i="35"/>
  <c r="B34" i="35"/>
  <c r="A34" i="35"/>
  <c r="M33" i="35"/>
  <c r="E33" i="35"/>
  <c r="D33" i="35"/>
  <c r="C33" i="35"/>
  <c r="B33" i="35"/>
  <c r="A33" i="35"/>
  <c r="M32" i="35"/>
  <c r="E32" i="35"/>
  <c r="D32" i="35"/>
  <c r="M31" i="35"/>
  <c r="E31" i="35"/>
  <c r="D31" i="35"/>
  <c r="C31" i="35"/>
  <c r="B31" i="35"/>
  <c r="A31" i="35"/>
  <c r="M30" i="35"/>
  <c r="E30" i="35"/>
  <c r="D30" i="35"/>
  <c r="C30" i="35"/>
  <c r="B30" i="35"/>
  <c r="A30" i="35"/>
  <c r="M29" i="35"/>
  <c r="E29" i="35"/>
  <c r="D29" i="35"/>
  <c r="C29" i="35"/>
  <c r="B29" i="35"/>
  <c r="A29" i="35"/>
  <c r="M28" i="35"/>
  <c r="E28" i="35"/>
  <c r="C28" i="35"/>
  <c r="B28" i="35"/>
  <c r="A28" i="35"/>
  <c r="M27" i="35"/>
  <c r="E27" i="35"/>
  <c r="C27" i="35"/>
  <c r="B27" i="35"/>
  <c r="A27" i="35"/>
  <c r="M26" i="35"/>
  <c r="E26" i="35"/>
  <c r="C26" i="35"/>
  <c r="B26" i="35"/>
  <c r="A26" i="35"/>
  <c r="M25" i="35"/>
  <c r="E25" i="35"/>
  <c r="C25" i="35"/>
  <c r="B25" i="35"/>
  <c r="A25" i="35"/>
  <c r="M24" i="35"/>
  <c r="E24" i="35"/>
  <c r="C24" i="35"/>
  <c r="B24" i="35"/>
  <c r="A24" i="35"/>
  <c r="M23" i="35"/>
  <c r="M22" i="35"/>
  <c r="E22" i="35"/>
  <c r="D22" i="35"/>
  <c r="C22" i="35"/>
  <c r="B22" i="35"/>
  <c r="A22" i="35"/>
  <c r="M21" i="35"/>
  <c r="E21" i="35"/>
  <c r="D21" i="35"/>
  <c r="C21" i="35"/>
  <c r="B21" i="35"/>
  <c r="A21" i="35"/>
  <c r="M20" i="35"/>
  <c r="E20" i="35"/>
  <c r="C20" i="35"/>
  <c r="B20" i="35"/>
  <c r="A20" i="35"/>
  <c r="M19" i="35"/>
  <c r="E19" i="35"/>
  <c r="C19" i="35"/>
  <c r="B19" i="35"/>
  <c r="A19" i="35"/>
  <c r="M18" i="35"/>
  <c r="E18" i="35"/>
  <c r="C18" i="35"/>
  <c r="B18" i="35"/>
  <c r="A18" i="35"/>
  <c r="M17" i="35"/>
  <c r="E17" i="35"/>
  <c r="C17" i="35"/>
  <c r="B17" i="35"/>
  <c r="A17" i="35"/>
  <c r="M16" i="35"/>
  <c r="D16" i="35"/>
  <c r="M15" i="35"/>
  <c r="E15" i="35"/>
  <c r="C15" i="35"/>
  <c r="B15" i="35"/>
  <c r="A15" i="35"/>
  <c r="M14" i="35"/>
  <c r="E14" i="35"/>
  <c r="C14" i="35"/>
  <c r="B14" i="35"/>
  <c r="A14" i="35"/>
  <c r="B13" i="35"/>
  <c r="A13" i="35"/>
  <c r="E12" i="35"/>
  <c r="C12" i="35"/>
  <c r="B12" i="35"/>
  <c r="A12" i="35"/>
  <c r="M11" i="35"/>
  <c r="D11" i="35"/>
  <c r="B11" i="35"/>
  <c r="A11" i="35"/>
  <c r="M10" i="35"/>
  <c r="D10" i="35"/>
  <c r="M9" i="35"/>
  <c r="B9" i="35"/>
  <c r="A9" i="35"/>
  <c r="B8" i="35"/>
  <c r="A8" i="35"/>
  <c r="M7" i="35"/>
  <c r="E7" i="35"/>
  <c r="C7" i="35"/>
  <c r="B7" i="35"/>
  <c r="A7" i="35"/>
  <c r="M6" i="35"/>
  <c r="E6" i="35"/>
  <c r="C6" i="35"/>
  <c r="B6" i="35"/>
  <c r="A6" i="35"/>
  <c r="M5" i="35"/>
  <c r="B5" i="35"/>
  <c r="A5" i="35"/>
  <c r="B2" i="35"/>
  <c r="M12" i="35"/>
  <c r="Q13" i="35"/>
  <c r="M13" i="35"/>
  <c r="M8" i="35"/>
  <c r="T26" i="35"/>
  <c r="X11" i="35"/>
  <c r="X19" i="35"/>
  <c r="T67" i="35"/>
  <c r="T59" i="35"/>
  <c r="T51" i="35"/>
  <c r="T43" i="35"/>
  <c r="T35" i="35"/>
  <c r="T27" i="35"/>
  <c r="W61" i="35"/>
  <c r="W53" i="35"/>
  <c r="W45" i="35"/>
  <c r="W37" i="35"/>
  <c r="W29" i="35"/>
  <c r="R64" i="35"/>
  <c r="R56" i="35"/>
  <c r="R48" i="35"/>
  <c r="R40" i="35"/>
  <c r="R32" i="35"/>
  <c r="U64" i="35"/>
  <c r="U48" i="35"/>
  <c r="U32" i="35"/>
  <c r="T12" i="35"/>
  <c r="T20" i="35"/>
  <c r="X66" i="35"/>
  <c r="X58" i="35"/>
  <c r="X50" i="35"/>
  <c r="X42" i="35"/>
  <c r="X34" i="35"/>
  <c r="X26" i="35"/>
  <c r="S61" i="35"/>
  <c r="S53" i="35"/>
  <c r="S45" i="35"/>
  <c r="S37" i="35"/>
  <c r="S29" i="35"/>
  <c r="V63" i="35"/>
  <c r="V55" i="35"/>
  <c r="V47" i="35"/>
  <c r="V39" i="35"/>
  <c r="V31" i="35"/>
  <c r="U63" i="35"/>
  <c r="U47" i="35"/>
  <c r="U31" i="35"/>
  <c r="X12" i="35"/>
  <c r="X20" i="35"/>
  <c r="T66" i="35"/>
  <c r="T58" i="35"/>
  <c r="T50" i="35"/>
  <c r="T42" i="35"/>
  <c r="T34" i="35"/>
  <c r="W68" i="35"/>
  <c r="W60" i="35"/>
  <c r="W52" i="35"/>
  <c r="W44" i="35"/>
  <c r="W36" i="35"/>
  <c r="W28" i="35"/>
  <c r="R63" i="35"/>
  <c r="R55" i="35"/>
  <c r="R47" i="35"/>
  <c r="R39" i="35"/>
  <c r="R31" i="35"/>
  <c r="U62" i="35"/>
  <c r="U46" i="35"/>
  <c r="U30" i="35"/>
  <c r="T11" i="35"/>
  <c r="T19" i="35"/>
  <c r="X67" i="35"/>
  <c r="X59" i="35"/>
  <c r="X51" i="35"/>
  <c r="X43" i="35"/>
  <c r="X35" i="35"/>
  <c r="X27" i="35"/>
  <c r="S62" i="35"/>
  <c r="S54" i="35"/>
  <c r="S46" i="35"/>
  <c r="S38" i="35"/>
  <c r="S30" i="35"/>
  <c r="V64" i="35"/>
  <c r="V56" i="35"/>
  <c r="V48" i="35"/>
  <c r="V40" i="35"/>
  <c r="V32" i="35"/>
  <c r="U65" i="35"/>
  <c r="U49" i="35"/>
  <c r="U33" i="35"/>
  <c r="X13" i="35"/>
  <c r="X21" i="35"/>
  <c r="T65" i="35"/>
  <c r="T57" i="35"/>
  <c r="T49" i="35"/>
  <c r="T41" i="35"/>
  <c r="T33" i="35"/>
  <c r="W67" i="35"/>
  <c r="W59" i="35"/>
  <c r="W51" i="35"/>
  <c r="W43" i="35"/>
  <c r="W35" i="35"/>
  <c r="W27" i="35"/>
  <c r="R62" i="35"/>
  <c r="R54" i="35"/>
  <c r="R46" i="35"/>
  <c r="R38" i="35"/>
  <c r="R30" i="35"/>
  <c r="U60" i="35"/>
  <c r="U44" i="35"/>
  <c r="T6" i="35"/>
  <c r="T14" i="35"/>
  <c r="T22" i="35"/>
  <c r="X64" i="35"/>
  <c r="X56" i="35"/>
  <c r="X48" i="35"/>
  <c r="X40" i="35"/>
  <c r="X32" i="35"/>
  <c r="S67" i="35"/>
  <c r="S59" i="35"/>
  <c r="S51" i="35"/>
  <c r="S43" i="35"/>
  <c r="S35" i="35"/>
  <c r="S27" i="35"/>
  <c r="V61" i="35"/>
  <c r="V53" i="35"/>
  <c r="V45" i="35"/>
  <c r="V37" i="35"/>
  <c r="V29" i="35"/>
  <c r="U59" i="35"/>
  <c r="U43" i="35"/>
  <c r="X6" i="35"/>
  <c r="X14" i="35"/>
  <c r="X22" i="35"/>
  <c r="T64" i="35"/>
  <c r="T56" i="35"/>
  <c r="T48" i="35"/>
  <c r="T40" i="35"/>
  <c r="T32" i="35"/>
  <c r="W66" i="35"/>
  <c r="W58" i="35"/>
  <c r="W50" i="35"/>
  <c r="W42" i="35"/>
  <c r="W34" i="35"/>
  <c r="W26" i="35"/>
  <c r="R61" i="35"/>
  <c r="R53" i="35"/>
  <c r="R45" i="35"/>
  <c r="R37" i="35"/>
  <c r="R29" i="35"/>
  <c r="U58" i="35"/>
  <c r="U42" i="35"/>
  <c r="T5" i="35"/>
  <c r="T13" i="35"/>
  <c r="T21" i="35"/>
  <c r="X65" i="35"/>
  <c r="X57" i="35"/>
  <c r="X49" i="35"/>
  <c r="X41" i="35"/>
  <c r="X33" i="35"/>
  <c r="S68" i="35"/>
  <c r="S60" i="35"/>
  <c r="S52" i="35"/>
  <c r="S44" i="35"/>
  <c r="S36" i="35"/>
  <c r="S28" i="35"/>
  <c r="V62" i="35"/>
  <c r="V54" i="35"/>
  <c r="V46" i="35"/>
  <c r="V38" i="35"/>
  <c r="V30" i="35"/>
  <c r="X15" i="35"/>
  <c r="X23" i="35"/>
  <c r="T63" i="35"/>
  <c r="T55" i="35"/>
  <c r="T47" i="35"/>
  <c r="T39" i="35"/>
  <c r="T31" i="35"/>
  <c r="W65" i="35"/>
  <c r="W57" i="35"/>
  <c r="W49" i="35"/>
  <c r="W41" i="35"/>
  <c r="W33" i="35"/>
  <c r="R68" i="35"/>
  <c r="R60" i="35"/>
  <c r="R52" i="35"/>
  <c r="R44" i="35"/>
  <c r="R36" i="35"/>
  <c r="R28" i="35"/>
  <c r="U56" i="35"/>
  <c r="U40" i="35"/>
  <c r="T8" i="35"/>
  <c r="T16" i="35"/>
  <c r="T24" i="35"/>
  <c r="X62" i="35"/>
  <c r="X54" i="35"/>
  <c r="X46" i="35"/>
  <c r="X38" i="35"/>
  <c r="X30" i="35"/>
  <c r="S65" i="35"/>
  <c r="S57" i="35"/>
  <c r="S49" i="35"/>
  <c r="S41" i="35"/>
  <c r="S33" i="35"/>
  <c r="V67" i="35"/>
  <c r="V59" i="35"/>
  <c r="V51" i="35"/>
  <c r="V43" i="35"/>
  <c r="V35" i="35"/>
  <c r="V27" i="35"/>
  <c r="U55" i="35"/>
  <c r="U39" i="35"/>
  <c r="X8" i="35"/>
  <c r="X16" i="35"/>
  <c r="X24" i="35"/>
  <c r="T62" i="35"/>
  <c r="T54" i="35"/>
  <c r="T46" i="35"/>
  <c r="T38" i="35"/>
  <c r="T30" i="35"/>
  <c r="W64" i="35"/>
  <c r="W56" i="35"/>
  <c r="W48" i="35"/>
  <c r="W40" i="35"/>
  <c r="W32" i="35"/>
  <c r="R67" i="35"/>
  <c r="R59" i="35"/>
  <c r="R51" i="35"/>
  <c r="R43" i="35"/>
  <c r="R35" i="35"/>
  <c r="R27" i="35"/>
  <c r="U54" i="35"/>
  <c r="U38" i="35"/>
  <c r="T7" i="35"/>
  <c r="T15" i="35"/>
  <c r="T23" i="35"/>
  <c r="X63" i="35"/>
  <c r="X55" i="35"/>
  <c r="X47" i="35"/>
  <c r="X39" i="35"/>
  <c r="X31" i="35"/>
  <c r="S66" i="35"/>
  <c r="S58" i="35"/>
  <c r="S50" i="35"/>
  <c r="S42" i="35"/>
  <c r="S34" i="35"/>
  <c r="V68" i="35"/>
  <c r="V60" i="35"/>
  <c r="V52" i="35"/>
  <c r="X9" i="35"/>
  <c r="X17" i="35"/>
  <c r="X25" i="35"/>
  <c r="T61" i="35"/>
  <c r="T53" i="35"/>
  <c r="T45" i="35"/>
  <c r="T37" i="35"/>
  <c r="T29" i="35"/>
  <c r="W63" i="35"/>
  <c r="W55" i="35"/>
  <c r="W47" i="35"/>
  <c r="W39" i="35"/>
  <c r="W31" i="35"/>
  <c r="R66" i="35"/>
  <c r="R58" i="35"/>
  <c r="R50" i="35"/>
  <c r="R42" i="35"/>
  <c r="R34" i="35"/>
  <c r="U68" i="35"/>
  <c r="U52" i="35"/>
  <c r="U36" i="35"/>
  <c r="T10" i="35"/>
  <c r="T18" i="35"/>
  <c r="X68" i="35"/>
  <c r="X60" i="35"/>
  <c r="X52" i="35"/>
  <c r="X44" i="35"/>
  <c r="X36" i="35"/>
  <c r="X28" i="35"/>
  <c r="S63" i="35"/>
  <c r="S55" i="35"/>
  <c r="S47" i="35"/>
  <c r="S39" i="35"/>
  <c r="S31" i="35"/>
  <c r="V65" i="35"/>
  <c r="V57" i="35"/>
  <c r="V49" i="35"/>
  <c r="V41" i="35"/>
  <c r="V33" i="35"/>
  <c r="U67" i="35"/>
  <c r="U51" i="35"/>
  <c r="U35" i="35"/>
  <c r="X10" i="35"/>
  <c r="X18" i="35"/>
  <c r="T68" i="35"/>
  <c r="T60" i="35"/>
  <c r="T52" i="35"/>
  <c r="T44" i="35"/>
  <c r="T36" i="35"/>
  <c r="T28" i="35"/>
  <c r="W62" i="35"/>
  <c r="W54" i="35"/>
  <c r="W46" i="35"/>
  <c r="W38" i="35"/>
  <c r="W30" i="35"/>
  <c r="R65" i="35"/>
  <c r="R57" i="35"/>
  <c r="R49" i="35"/>
  <c r="R41" i="35"/>
  <c r="R33" i="35"/>
  <c r="U66" i="35"/>
  <c r="U50" i="35"/>
  <c r="U34" i="35"/>
  <c r="T9" i="35"/>
  <c r="T17" i="35"/>
  <c r="T25" i="35"/>
  <c r="X61" i="35"/>
  <c r="X53" i="35"/>
  <c r="X45" i="35"/>
  <c r="X37" i="35"/>
  <c r="X29" i="35"/>
  <c r="S64" i="35"/>
  <c r="S56" i="35"/>
  <c r="S48" i="35"/>
  <c r="S40" i="35"/>
  <c r="S32" i="35"/>
  <c r="V66" i="35"/>
  <c r="V58" i="35"/>
  <c r="V50" i="35"/>
  <c r="V42" i="35"/>
  <c r="V34" i="35"/>
  <c r="V26" i="35"/>
  <c r="U53" i="35"/>
  <c r="U37" i="35"/>
  <c r="U9" i="35"/>
  <c r="U25" i="35"/>
  <c r="R12" i="35"/>
  <c r="R20" i="35"/>
  <c r="W6" i="35"/>
  <c r="W14" i="35"/>
  <c r="W22" i="35"/>
  <c r="U14" i="35"/>
  <c r="V6" i="35"/>
  <c r="V14" i="35"/>
  <c r="V22" i="35"/>
  <c r="S9" i="35"/>
  <c r="S17" i="35"/>
  <c r="S25" i="35"/>
  <c r="U15" i="35"/>
  <c r="R7" i="35"/>
  <c r="R15" i="35"/>
  <c r="R23" i="35"/>
  <c r="W9" i="35"/>
  <c r="W17" i="35"/>
  <c r="W25" i="35"/>
  <c r="U16" i="35"/>
  <c r="V7" i="35"/>
  <c r="V15" i="35"/>
  <c r="V23" i="35"/>
  <c r="S10" i="35"/>
  <c r="S18" i="35"/>
  <c r="S26" i="35"/>
  <c r="V44" i="35"/>
  <c r="U57" i="35"/>
  <c r="U5" i="35"/>
  <c r="R6" i="35"/>
  <c r="R16" i="35"/>
  <c r="R26" i="35"/>
  <c r="W16" i="35"/>
  <c r="U6" i="35"/>
  <c r="U26" i="35"/>
  <c r="V16" i="35"/>
  <c r="S5" i="35"/>
  <c r="S15" i="35"/>
  <c r="U28" i="35"/>
  <c r="U23" i="35"/>
  <c r="R13" i="35"/>
  <c r="R25" i="35"/>
  <c r="W13" i="35"/>
  <c r="W23" i="35"/>
  <c r="U20" i="35"/>
  <c r="V11" i="35"/>
  <c r="V21" i="35"/>
  <c r="S12" i="35"/>
  <c r="S22" i="35"/>
  <c r="V36" i="35"/>
  <c r="U45" i="35"/>
  <c r="U13" i="35"/>
  <c r="R8" i="35"/>
  <c r="R18" i="35"/>
  <c r="W8" i="35"/>
  <c r="W18" i="35"/>
  <c r="U10" i="35"/>
  <c r="V8" i="35"/>
  <c r="V18" i="35"/>
  <c r="S7" i="35"/>
  <c r="S19" i="35"/>
  <c r="U7" i="35"/>
  <c r="R5" i="35"/>
  <c r="R17" i="35"/>
  <c r="W5" i="35"/>
  <c r="W15" i="35"/>
  <c r="U27" i="35"/>
  <c r="U24" i="35"/>
  <c r="V13" i="35"/>
  <c r="V25" i="35"/>
  <c r="S14" i="35"/>
  <c r="S24" i="35"/>
  <c r="V28" i="35"/>
  <c r="U41" i="35"/>
  <c r="U17" i="35"/>
  <c r="R10" i="35"/>
  <c r="R22" i="35"/>
  <c r="W10" i="35"/>
  <c r="W20" i="35"/>
  <c r="U18" i="35"/>
  <c r="V10" i="35"/>
  <c r="V20" i="35"/>
  <c r="S11" i="35"/>
  <c r="S21" i="35"/>
  <c r="U11" i="35"/>
  <c r="R9" i="35"/>
  <c r="R19" i="35"/>
  <c r="W7" i="35"/>
  <c r="W19" i="35"/>
  <c r="U8" i="35"/>
  <c r="V5" i="35"/>
  <c r="V17" i="35"/>
  <c r="S6" i="35"/>
  <c r="S16" i="35"/>
  <c r="U61" i="35"/>
  <c r="U29" i="35"/>
  <c r="U21" i="35"/>
  <c r="R14" i="35"/>
  <c r="R24" i="35"/>
  <c r="W12" i="35"/>
  <c r="W24" i="35"/>
  <c r="U22" i="35"/>
  <c r="V12" i="35"/>
  <c r="V24" i="35"/>
  <c r="S13" i="35"/>
  <c r="S23" i="35"/>
  <c r="U19" i="35"/>
  <c r="R11" i="35"/>
  <c r="R21" i="35"/>
  <c r="W11" i="35"/>
  <c r="W21" i="35"/>
  <c r="U12" i="35"/>
  <c r="V9" i="35"/>
  <c r="V19" i="35"/>
  <c r="S8" i="35"/>
  <c r="S20" i="35"/>
  <c r="M4" i="35"/>
  <c r="W4" i="35"/>
  <c r="D7" i="35"/>
  <c r="D6" i="35"/>
  <c r="X5" i="35"/>
  <c r="D54" i="35"/>
  <c r="D53" i="35"/>
  <c r="D44" i="35"/>
  <c r="D55" i="35"/>
  <c r="D66" i="35"/>
  <c r="D61" i="35"/>
  <c r="D18" i="35"/>
  <c r="D20" i="35"/>
  <c r="D12" i="35"/>
  <c r="D15" i="35"/>
  <c r="D17" i="35"/>
  <c r="X7" i="35"/>
  <c r="X4" i="35"/>
  <c r="C5" i="35"/>
  <c r="I4" i="35"/>
  <c r="K4" i="35"/>
  <c r="D19" i="35"/>
  <c r="D14" i="35"/>
  <c r="D25" i="35"/>
  <c r="D24" i="35"/>
  <c r="D27" i="35"/>
  <c r="D42" i="35"/>
  <c r="D46" i="35"/>
  <c r="D28" i="35"/>
  <c r="D26" i="35"/>
  <c r="L4" i="35"/>
  <c r="E11" i="26"/>
  <c r="E12" i="26"/>
  <c r="E13" i="26"/>
  <c r="E14" i="26"/>
  <c r="E19" i="26"/>
  <c r="E20" i="26"/>
  <c r="E21" i="26"/>
  <c r="E22" i="26"/>
  <c r="E23" i="26"/>
  <c r="E24" i="26"/>
  <c r="E29" i="26"/>
  <c r="E30" i="26"/>
  <c r="E31" i="26"/>
  <c r="E32" i="26"/>
  <c r="E33" i="26"/>
  <c r="E34" i="26"/>
  <c r="E39" i="26"/>
  <c r="E40" i="26"/>
  <c r="E41" i="26"/>
  <c r="E42" i="26"/>
  <c r="E43" i="26"/>
  <c r="E44" i="26"/>
  <c r="E49" i="26"/>
  <c r="E50" i="26"/>
  <c r="E51" i="26"/>
  <c r="E52" i="26"/>
  <c r="E53" i="26"/>
  <c r="E54" i="26"/>
  <c r="E70" i="26"/>
  <c r="E71" i="26"/>
  <c r="E72" i="26"/>
  <c r="E73" i="26"/>
  <c r="E74" i="26"/>
  <c r="E75" i="26"/>
  <c r="E76" i="26"/>
  <c r="E92" i="26"/>
  <c r="E93" i="26"/>
  <c r="E94" i="26"/>
  <c r="E95" i="26"/>
  <c r="E96" i="26"/>
  <c r="E97" i="26"/>
  <c r="E98" i="26"/>
  <c r="E103" i="26"/>
  <c r="F104" i="26"/>
  <c r="E108" i="26"/>
  <c r="E109" i="26"/>
  <c r="E114" i="26"/>
  <c r="E115" i="26"/>
  <c r="E120" i="26"/>
  <c r="E121" i="26"/>
  <c r="F45" i="26"/>
  <c r="F116" i="26"/>
  <c r="F99" i="26"/>
  <c r="F35" i="26"/>
  <c r="F122" i="26"/>
  <c r="F15" i="26"/>
  <c r="F55" i="26"/>
  <c r="F77" i="26"/>
  <c r="F110" i="26"/>
  <c r="F25" i="26"/>
  <c r="Q68" i="61"/>
  <c r="Q67" i="61"/>
  <c r="Q65" i="61"/>
  <c r="Q64" i="61"/>
  <c r="Q63" i="61"/>
  <c r="Q62" i="61"/>
  <c r="Q61" i="61"/>
  <c r="Q60" i="61"/>
  <c r="Q59" i="61"/>
  <c r="Q58" i="61"/>
  <c r="Q57" i="61"/>
  <c r="Q56" i="61"/>
  <c r="Q55" i="61"/>
  <c r="Q54" i="61"/>
  <c r="Q53" i="61"/>
  <c r="Q52" i="61"/>
  <c r="Q51" i="61"/>
  <c r="Q50" i="61"/>
  <c r="Q49" i="61"/>
  <c r="Q48" i="61"/>
  <c r="Q47" i="61"/>
  <c r="Q46" i="61"/>
  <c r="Q45" i="61"/>
  <c r="Q44" i="61"/>
  <c r="Q43" i="61"/>
  <c r="Q42" i="61"/>
  <c r="Q41" i="61"/>
  <c r="Q40" i="61"/>
  <c r="Q39" i="61"/>
  <c r="Q38" i="61"/>
  <c r="Q37" i="61"/>
  <c r="Q36" i="61"/>
  <c r="Q35" i="61"/>
  <c r="Q34" i="61"/>
  <c r="Q33" i="61"/>
  <c r="Q32" i="61"/>
  <c r="Q31" i="61"/>
  <c r="Q30" i="61"/>
  <c r="Q29" i="61"/>
  <c r="Q28" i="61"/>
  <c r="Q27" i="61"/>
  <c r="Q26" i="61"/>
  <c r="Q25" i="61"/>
  <c r="Q24" i="61"/>
  <c r="Q23" i="61"/>
  <c r="Q22" i="61"/>
  <c r="Q21" i="61"/>
  <c r="Q20" i="61"/>
  <c r="Q19" i="61"/>
  <c r="Q18" i="61"/>
  <c r="Q17" i="61"/>
  <c r="Q16" i="61"/>
  <c r="Q15" i="61"/>
  <c r="Q14" i="61"/>
  <c r="Q13" i="61"/>
  <c r="Q12" i="61"/>
  <c r="Q11" i="61"/>
  <c r="Q10" i="61"/>
  <c r="Q9" i="61"/>
  <c r="Q8" i="61"/>
  <c r="Q7" i="61"/>
  <c r="Q6" i="61"/>
  <c r="Q5" i="61"/>
  <c r="A6" i="61"/>
  <c r="A5" i="61"/>
  <c r="M68" i="61"/>
  <c r="E68" i="61"/>
  <c r="D68" i="61"/>
  <c r="C68" i="61"/>
  <c r="B68" i="61"/>
  <c r="A68" i="61"/>
  <c r="M67" i="61"/>
  <c r="E67" i="61"/>
  <c r="D67" i="61"/>
  <c r="C67" i="61"/>
  <c r="B67" i="61"/>
  <c r="A67" i="61"/>
  <c r="C4" i="61"/>
  <c r="B66" i="61"/>
  <c r="A66" i="61"/>
  <c r="M65" i="61"/>
  <c r="E65" i="61"/>
  <c r="D65" i="61"/>
  <c r="C65" i="61"/>
  <c r="B65" i="61"/>
  <c r="A65" i="61"/>
  <c r="M64" i="61"/>
  <c r="E64" i="61"/>
  <c r="D64" i="61"/>
  <c r="C64" i="61"/>
  <c r="B64" i="61"/>
  <c r="A64" i="61"/>
  <c r="M63" i="61"/>
  <c r="E63" i="61"/>
  <c r="D63" i="61"/>
  <c r="A63" i="61"/>
  <c r="M62" i="61"/>
  <c r="E62" i="61"/>
  <c r="D62" i="61"/>
  <c r="C62" i="61"/>
  <c r="E61" i="61"/>
  <c r="C61" i="61"/>
  <c r="M61" i="61"/>
  <c r="B61" i="61"/>
  <c r="A61" i="61"/>
  <c r="M60" i="61"/>
  <c r="E60" i="61"/>
  <c r="C60" i="61"/>
  <c r="B60" i="61"/>
  <c r="A60" i="61"/>
  <c r="E59" i="61"/>
  <c r="C59" i="61"/>
  <c r="M59" i="61"/>
  <c r="B59" i="61"/>
  <c r="A59" i="61"/>
  <c r="M58" i="61"/>
  <c r="E58" i="61"/>
  <c r="D58" i="61"/>
  <c r="C58" i="61"/>
  <c r="B58" i="61"/>
  <c r="A58" i="61"/>
  <c r="M57" i="61"/>
  <c r="E57" i="61"/>
  <c r="D57" i="61"/>
  <c r="A57" i="61"/>
  <c r="M56" i="61"/>
  <c r="E56" i="61"/>
  <c r="D56" i="61"/>
  <c r="C56" i="61"/>
  <c r="M55" i="61"/>
  <c r="E55" i="61"/>
  <c r="C55" i="61"/>
  <c r="B55" i="61"/>
  <c r="A55" i="61"/>
  <c r="M54" i="61"/>
  <c r="E54" i="61"/>
  <c r="C54" i="61"/>
  <c r="B54" i="61"/>
  <c r="A54" i="61"/>
  <c r="E53" i="61"/>
  <c r="C53" i="61"/>
  <c r="B53" i="61"/>
  <c r="A53" i="61"/>
  <c r="M52" i="61"/>
  <c r="E52" i="61"/>
  <c r="D52" i="61"/>
  <c r="B52" i="61"/>
  <c r="A52" i="61"/>
  <c r="M51" i="61"/>
  <c r="E51" i="61"/>
  <c r="D51" i="61"/>
  <c r="M50" i="61"/>
  <c r="E50" i="61"/>
  <c r="D50" i="61"/>
  <c r="M49" i="61"/>
  <c r="E49" i="61"/>
  <c r="D49" i="61"/>
  <c r="C49" i="61"/>
  <c r="B49" i="61"/>
  <c r="A49" i="61"/>
  <c r="M48" i="61"/>
  <c r="E48" i="61"/>
  <c r="D48" i="61"/>
  <c r="C48" i="61"/>
  <c r="B48" i="61"/>
  <c r="A48" i="61"/>
  <c r="M47" i="61"/>
  <c r="E47" i="61"/>
  <c r="D47" i="61"/>
  <c r="C47" i="61"/>
  <c r="B47" i="61"/>
  <c r="A47" i="61"/>
  <c r="M46" i="61"/>
  <c r="E46" i="61"/>
  <c r="C46" i="61"/>
  <c r="B46" i="61"/>
  <c r="A46" i="61"/>
  <c r="M45" i="61"/>
  <c r="E45" i="61"/>
  <c r="D45" i="61"/>
  <c r="C45" i="61"/>
  <c r="B45" i="61"/>
  <c r="A45" i="61"/>
  <c r="M44" i="61"/>
  <c r="E44" i="61"/>
  <c r="C44" i="61"/>
  <c r="B44" i="61"/>
  <c r="A44" i="61"/>
  <c r="M43" i="61"/>
  <c r="E43" i="61"/>
  <c r="C43" i="61"/>
  <c r="B43" i="61"/>
  <c r="A43" i="61"/>
  <c r="M42" i="61"/>
  <c r="E42" i="61"/>
  <c r="C42" i="61"/>
  <c r="B42" i="61"/>
  <c r="A42" i="61"/>
  <c r="M41" i="61"/>
  <c r="E41" i="61"/>
  <c r="D41" i="61"/>
  <c r="B41" i="61"/>
  <c r="A41" i="61"/>
  <c r="M40" i="61"/>
  <c r="E40" i="61"/>
  <c r="D40" i="61"/>
  <c r="M39" i="61"/>
  <c r="E39" i="61"/>
  <c r="D39" i="61"/>
  <c r="C39" i="61"/>
  <c r="B39" i="61"/>
  <c r="A39" i="61"/>
  <c r="M38" i="61"/>
  <c r="E38" i="61"/>
  <c r="D38" i="61"/>
  <c r="C38" i="61"/>
  <c r="B38" i="61"/>
  <c r="A38" i="61"/>
  <c r="M37" i="61"/>
  <c r="E37" i="61"/>
  <c r="D37" i="61"/>
  <c r="C37" i="61"/>
  <c r="B37" i="61"/>
  <c r="A37" i="61"/>
  <c r="M36" i="61"/>
  <c r="E36" i="61"/>
  <c r="D36" i="61"/>
  <c r="C36" i="61"/>
  <c r="B36" i="61"/>
  <c r="A36" i="61"/>
  <c r="M35" i="61"/>
  <c r="E35" i="61"/>
  <c r="D35" i="61"/>
  <c r="C35" i="61"/>
  <c r="B35" i="61"/>
  <c r="A35" i="61"/>
  <c r="M34" i="61"/>
  <c r="E34" i="61"/>
  <c r="D34" i="61"/>
  <c r="C34" i="61"/>
  <c r="B34" i="61"/>
  <c r="A34" i="61"/>
  <c r="M33" i="61"/>
  <c r="E33" i="61"/>
  <c r="D33" i="61"/>
  <c r="C33" i="61"/>
  <c r="B33" i="61"/>
  <c r="A33" i="61"/>
  <c r="M32" i="61"/>
  <c r="E32" i="61"/>
  <c r="D32" i="61"/>
  <c r="M31" i="61"/>
  <c r="E31" i="61"/>
  <c r="D31" i="61"/>
  <c r="C31" i="61"/>
  <c r="B31" i="61"/>
  <c r="A31" i="61"/>
  <c r="M30" i="61"/>
  <c r="E30" i="61"/>
  <c r="D30" i="61"/>
  <c r="C30" i="61"/>
  <c r="B30" i="61"/>
  <c r="A30" i="61"/>
  <c r="M29" i="61"/>
  <c r="E29" i="61"/>
  <c r="D29" i="61"/>
  <c r="C29" i="61"/>
  <c r="B29" i="61"/>
  <c r="A29" i="61"/>
  <c r="M28" i="61"/>
  <c r="E28" i="61"/>
  <c r="C28" i="61"/>
  <c r="B28" i="61"/>
  <c r="A28" i="61"/>
  <c r="M27" i="61"/>
  <c r="E27" i="61"/>
  <c r="C27" i="61"/>
  <c r="B27" i="61"/>
  <c r="A27" i="61"/>
  <c r="M26" i="61"/>
  <c r="E26" i="61"/>
  <c r="C26" i="61"/>
  <c r="B26" i="61"/>
  <c r="A26" i="61"/>
  <c r="M25" i="61"/>
  <c r="E25" i="61"/>
  <c r="C25" i="61"/>
  <c r="B25" i="61"/>
  <c r="A25" i="61"/>
  <c r="M24" i="61"/>
  <c r="E24" i="61"/>
  <c r="C24" i="61"/>
  <c r="B24" i="61"/>
  <c r="A24" i="61"/>
  <c r="M23" i="61"/>
  <c r="M22" i="61"/>
  <c r="E22" i="61"/>
  <c r="D22" i="61"/>
  <c r="C22" i="61"/>
  <c r="B22" i="61"/>
  <c r="A22" i="61"/>
  <c r="M21" i="61"/>
  <c r="E21" i="61"/>
  <c r="D21" i="61"/>
  <c r="C21" i="61"/>
  <c r="B21" i="61"/>
  <c r="A21" i="61"/>
  <c r="M20" i="61"/>
  <c r="E20" i="61"/>
  <c r="C20" i="61"/>
  <c r="B20" i="61"/>
  <c r="A20" i="61"/>
  <c r="M19" i="61"/>
  <c r="E19" i="61"/>
  <c r="C19" i="61"/>
  <c r="B19" i="61"/>
  <c r="A19" i="61"/>
  <c r="M18" i="61"/>
  <c r="E18" i="61"/>
  <c r="C18" i="61"/>
  <c r="B18" i="61"/>
  <c r="A18" i="61"/>
  <c r="M17" i="61"/>
  <c r="E17" i="61"/>
  <c r="C17" i="61"/>
  <c r="B17" i="61"/>
  <c r="A17" i="61"/>
  <c r="M16" i="61"/>
  <c r="D16" i="61"/>
  <c r="M15" i="61"/>
  <c r="E15" i="61"/>
  <c r="C15" i="61"/>
  <c r="B15" i="61"/>
  <c r="A15" i="61"/>
  <c r="M14" i="61"/>
  <c r="E14" i="61"/>
  <c r="C14" i="61"/>
  <c r="B14" i="61"/>
  <c r="A14" i="61"/>
  <c r="M13" i="61"/>
  <c r="E13" i="61"/>
  <c r="C13" i="61"/>
  <c r="B13" i="61"/>
  <c r="A13" i="61"/>
  <c r="M12" i="61"/>
  <c r="E12" i="61"/>
  <c r="C12" i="61"/>
  <c r="B12" i="61"/>
  <c r="A12" i="61"/>
  <c r="M11" i="61"/>
  <c r="D11" i="61"/>
  <c r="B11" i="61"/>
  <c r="A11" i="61"/>
  <c r="M10" i="61"/>
  <c r="D10" i="61"/>
  <c r="M9" i="61"/>
  <c r="E9" i="61"/>
  <c r="C9" i="61"/>
  <c r="B9" i="61"/>
  <c r="A9" i="61"/>
  <c r="M8" i="61"/>
  <c r="E8" i="61"/>
  <c r="C8" i="61"/>
  <c r="B8" i="61"/>
  <c r="A8" i="61"/>
  <c r="M7" i="61"/>
  <c r="E7" i="61"/>
  <c r="C7" i="61"/>
  <c r="B7" i="61"/>
  <c r="A7" i="61"/>
  <c r="M6" i="61"/>
  <c r="E6" i="61"/>
  <c r="C6" i="61"/>
  <c r="B6" i="61"/>
  <c r="M5" i="61"/>
  <c r="B5" i="61"/>
  <c r="B2" i="61"/>
  <c r="D43" i="61"/>
  <c r="Q66" i="61"/>
  <c r="M53" i="61"/>
  <c r="S29" i="61"/>
  <c r="X7" i="61"/>
  <c r="X9" i="61"/>
  <c r="X11" i="61"/>
  <c r="X13" i="61"/>
  <c r="X15" i="61"/>
  <c r="X17" i="61"/>
  <c r="X19" i="61"/>
  <c r="X21" i="61"/>
  <c r="X23" i="61"/>
  <c r="X25" i="61"/>
  <c r="X68" i="61"/>
  <c r="X66" i="61"/>
  <c r="X64" i="61"/>
  <c r="X62" i="61"/>
  <c r="X60" i="61"/>
  <c r="X58" i="61"/>
  <c r="X56" i="61"/>
  <c r="X54" i="61"/>
  <c r="X52" i="61"/>
  <c r="X50" i="61"/>
  <c r="X48" i="61"/>
  <c r="X46" i="61"/>
  <c r="X44" i="61"/>
  <c r="X42" i="61"/>
  <c r="X40" i="61"/>
  <c r="X38" i="61"/>
  <c r="X36" i="61"/>
  <c r="X34" i="61"/>
  <c r="X32" i="61"/>
  <c r="X30" i="61"/>
  <c r="X28" i="61"/>
  <c r="X26" i="61"/>
  <c r="S67" i="61"/>
  <c r="S65" i="61"/>
  <c r="S63" i="61"/>
  <c r="S61" i="61"/>
  <c r="S59" i="61"/>
  <c r="S57" i="61"/>
  <c r="S55" i="61"/>
  <c r="S53" i="61"/>
  <c r="S51" i="61"/>
  <c r="S49" i="61"/>
  <c r="S47" i="61"/>
  <c r="S45" i="61"/>
  <c r="S43" i="61"/>
  <c r="S41" i="61"/>
  <c r="S39" i="61"/>
  <c r="S37" i="61"/>
  <c r="S35" i="61"/>
  <c r="S33" i="61"/>
  <c r="S31" i="61"/>
  <c r="V68" i="61"/>
  <c r="V66" i="61"/>
  <c r="V64" i="61"/>
  <c r="V62" i="61"/>
  <c r="V60" i="61"/>
  <c r="V58" i="61"/>
  <c r="V56" i="61"/>
  <c r="V54" i="61"/>
  <c r="V52" i="61"/>
  <c r="V50" i="61"/>
  <c r="V48" i="61"/>
  <c r="V46" i="61"/>
  <c r="V44" i="61"/>
  <c r="V42" i="61"/>
  <c r="V40" i="61"/>
  <c r="V38" i="61"/>
  <c r="V36" i="61"/>
  <c r="V34" i="61"/>
  <c r="V32" i="61"/>
  <c r="V30" i="61"/>
  <c r="U68" i="61"/>
  <c r="U64" i="61"/>
  <c r="U60" i="61"/>
  <c r="U56" i="61"/>
  <c r="U52" i="61"/>
  <c r="U48" i="61"/>
  <c r="U44" i="61"/>
  <c r="U40" i="61"/>
  <c r="U36" i="61"/>
  <c r="U32" i="61"/>
  <c r="U28" i="61"/>
  <c r="U8" i="61"/>
  <c r="T6" i="61"/>
  <c r="T8" i="61"/>
  <c r="T10" i="61"/>
  <c r="T12" i="61"/>
  <c r="T14" i="61"/>
  <c r="T16" i="61"/>
  <c r="T18" i="61"/>
  <c r="T20" i="61"/>
  <c r="T22" i="61"/>
  <c r="T24" i="61"/>
  <c r="T26" i="61"/>
  <c r="T68" i="61"/>
  <c r="T66" i="61"/>
  <c r="T64" i="61"/>
  <c r="T62" i="61"/>
  <c r="T60" i="61"/>
  <c r="T58" i="61"/>
  <c r="T56" i="61"/>
  <c r="T54" i="61"/>
  <c r="T52" i="61"/>
  <c r="T50" i="61"/>
  <c r="T48" i="61"/>
  <c r="T46" i="61"/>
  <c r="T44" i="61"/>
  <c r="T42" i="61"/>
  <c r="T40" i="61"/>
  <c r="T38" i="61"/>
  <c r="T36" i="61"/>
  <c r="T34" i="61"/>
  <c r="T32" i="61"/>
  <c r="T30" i="61"/>
  <c r="T28" i="61"/>
  <c r="W68" i="61"/>
  <c r="W66" i="61"/>
  <c r="W64" i="61"/>
  <c r="W62" i="61"/>
  <c r="W60" i="61"/>
  <c r="W58" i="61"/>
  <c r="W56" i="61"/>
  <c r="W54" i="61"/>
  <c r="W52" i="61"/>
  <c r="W50" i="61"/>
  <c r="W48" i="61"/>
  <c r="W46" i="61"/>
  <c r="W44" i="61"/>
  <c r="W42" i="61"/>
  <c r="W40" i="61"/>
  <c r="W38" i="61"/>
  <c r="W36" i="61"/>
  <c r="W34" i="61"/>
  <c r="W32" i="61"/>
  <c r="W30" i="61"/>
  <c r="R68" i="61"/>
  <c r="R66" i="61"/>
  <c r="R64" i="61"/>
  <c r="R62" i="61"/>
  <c r="R60" i="61"/>
  <c r="R58" i="61"/>
  <c r="R56" i="61"/>
  <c r="R54" i="61"/>
  <c r="R52" i="61"/>
  <c r="R50" i="61"/>
  <c r="R48" i="61"/>
  <c r="R46" i="61"/>
  <c r="R44" i="61"/>
  <c r="R42" i="61"/>
  <c r="R40" i="61"/>
  <c r="R38" i="61"/>
  <c r="R36" i="61"/>
  <c r="R34" i="61"/>
  <c r="R32" i="61"/>
  <c r="R30" i="61"/>
  <c r="U67" i="61"/>
  <c r="U63" i="61"/>
  <c r="U59" i="61"/>
  <c r="U55" i="61"/>
  <c r="U51" i="61"/>
  <c r="U47" i="61"/>
  <c r="U43" i="61"/>
  <c r="U39" i="61"/>
  <c r="U35" i="61"/>
  <c r="U31" i="61"/>
  <c r="X6" i="61"/>
  <c r="X8" i="61"/>
  <c r="X10" i="61"/>
  <c r="X12" i="61"/>
  <c r="X14" i="61"/>
  <c r="X16" i="61"/>
  <c r="X18" i="61"/>
  <c r="X20" i="61"/>
  <c r="X22" i="61"/>
  <c r="X24" i="61"/>
  <c r="V27" i="61"/>
  <c r="X67" i="61"/>
  <c r="X65" i="61"/>
  <c r="X63" i="61"/>
  <c r="X61" i="61"/>
  <c r="X59" i="61"/>
  <c r="X57" i="61"/>
  <c r="X55" i="61"/>
  <c r="X53" i="61"/>
  <c r="X51" i="61"/>
  <c r="X49" i="61"/>
  <c r="X47" i="61"/>
  <c r="X45" i="61"/>
  <c r="X43" i="61"/>
  <c r="X41" i="61"/>
  <c r="X39" i="61"/>
  <c r="X37" i="61"/>
  <c r="X35" i="61"/>
  <c r="X33" i="61"/>
  <c r="X31" i="61"/>
  <c r="X29" i="61"/>
  <c r="X27" i="61"/>
  <c r="S68" i="61"/>
  <c r="S66" i="61"/>
  <c r="S64" i="61"/>
  <c r="S62" i="61"/>
  <c r="S60" i="61"/>
  <c r="S58" i="61"/>
  <c r="S56" i="61"/>
  <c r="S54" i="61"/>
  <c r="S52" i="61"/>
  <c r="S50" i="61"/>
  <c r="S48" i="61"/>
  <c r="S46" i="61"/>
  <c r="S44" i="61"/>
  <c r="S42" i="61"/>
  <c r="S40" i="61"/>
  <c r="S38" i="61"/>
  <c r="S36" i="61"/>
  <c r="S34" i="61"/>
  <c r="S32" i="61"/>
  <c r="S30" i="61"/>
  <c r="V67" i="61"/>
  <c r="V65" i="61"/>
  <c r="V63" i="61"/>
  <c r="V61" i="61"/>
  <c r="V59" i="61"/>
  <c r="V57" i="61"/>
  <c r="V55" i="61"/>
  <c r="V53" i="61"/>
  <c r="V51" i="61"/>
  <c r="V49" i="61"/>
  <c r="V47" i="61"/>
  <c r="V45" i="61"/>
  <c r="V43" i="61"/>
  <c r="V41" i="61"/>
  <c r="V39" i="61"/>
  <c r="V37" i="61"/>
  <c r="V35" i="61"/>
  <c r="V33" i="61"/>
  <c r="V31" i="61"/>
  <c r="V29" i="61"/>
  <c r="U66" i="61"/>
  <c r="U62" i="61"/>
  <c r="U58" i="61"/>
  <c r="U54" i="61"/>
  <c r="U50" i="61"/>
  <c r="U46" i="61"/>
  <c r="U42" i="61"/>
  <c r="U38" i="61"/>
  <c r="U34" i="61"/>
  <c r="T5" i="61"/>
  <c r="T7" i="61"/>
  <c r="T9" i="61"/>
  <c r="T11" i="61"/>
  <c r="T13" i="61"/>
  <c r="T15" i="61"/>
  <c r="T17" i="61"/>
  <c r="T19" i="61"/>
  <c r="T21" i="61"/>
  <c r="T23" i="61"/>
  <c r="T25" i="61"/>
  <c r="S28" i="61"/>
  <c r="T67" i="61"/>
  <c r="T65" i="61"/>
  <c r="T63" i="61"/>
  <c r="T61" i="61"/>
  <c r="T59" i="61"/>
  <c r="T57" i="61"/>
  <c r="T55" i="61"/>
  <c r="T53" i="61"/>
  <c r="T51" i="61"/>
  <c r="T49" i="61"/>
  <c r="T47" i="61"/>
  <c r="T45" i="61"/>
  <c r="T43" i="61"/>
  <c r="T41" i="61"/>
  <c r="T39" i="61"/>
  <c r="T37" i="61"/>
  <c r="T35" i="61"/>
  <c r="T33" i="61"/>
  <c r="T31" i="61"/>
  <c r="T29" i="61"/>
  <c r="T27" i="61"/>
  <c r="W67" i="61"/>
  <c r="W65" i="61"/>
  <c r="W63" i="61"/>
  <c r="W61" i="61"/>
  <c r="W59" i="61"/>
  <c r="W57" i="61"/>
  <c r="W55" i="61"/>
  <c r="W53" i="61"/>
  <c r="W51" i="61"/>
  <c r="W49" i="61"/>
  <c r="W47" i="61"/>
  <c r="W45" i="61"/>
  <c r="W43" i="61"/>
  <c r="W41" i="61"/>
  <c r="W39" i="61"/>
  <c r="W37" i="61"/>
  <c r="W35" i="61"/>
  <c r="W33" i="61"/>
  <c r="W31" i="61"/>
  <c r="W29" i="61"/>
  <c r="R67" i="61"/>
  <c r="R65" i="61"/>
  <c r="R63" i="61"/>
  <c r="R61" i="61"/>
  <c r="R59" i="61"/>
  <c r="R57" i="61"/>
  <c r="R55" i="61"/>
  <c r="R53" i="61"/>
  <c r="R51" i="61"/>
  <c r="R49" i="61"/>
  <c r="R47" i="61"/>
  <c r="R45" i="61"/>
  <c r="R43" i="61"/>
  <c r="R41" i="61"/>
  <c r="R39" i="61"/>
  <c r="R37" i="61"/>
  <c r="R35" i="61"/>
  <c r="R33" i="61"/>
  <c r="R31" i="61"/>
  <c r="R29" i="61"/>
  <c r="U65" i="61"/>
  <c r="U61" i="61"/>
  <c r="U57" i="61"/>
  <c r="U53" i="61"/>
  <c r="U49" i="61"/>
  <c r="U45" i="61"/>
  <c r="U41" i="61"/>
  <c r="U37" i="61"/>
  <c r="U33" i="61"/>
  <c r="U29" i="61"/>
  <c r="U6" i="61"/>
  <c r="U11" i="61"/>
  <c r="U15" i="61"/>
  <c r="U19" i="61"/>
  <c r="U23" i="61"/>
  <c r="R27" i="61"/>
  <c r="V5" i="61"/>
  <c r="V7" i="61"/>
  <c r="V9" i="61"/>
  <c r="V11" i="61"/>
  <c r="V13" i="61"/>
  <c r="V15" i="61"/>
  <c r="V17" i="61"/>
  <c r="V19" i="61"/>
  <c r="V21" i="61"/>
  <c r="V23" i="61"/>
  <c r="V25" i="61"/>
  <c r="W28" i="61"/>
  <c r="W6" i="61"/>
  <c r="W8" i="61"/>
  <c r="W10" i="61"/>
  <c r="W12" i="61"/>
  <c r="W14" i="61"/>
  <c r="W16" i="61"/>
  <c r="W18" i="61"/>
  <c r="W20" i="61"/>
  <c r="W22" i="61"/>
  <c r="W24" i="61"/>
  <c r="W26" i="61"/>
  <c r="U7" i="61"/>
  <c r="U12" i="61"/>
  <c r="U16" i="61"/>
  <c r="U20" i="61"/>
  <c r="U24" i="61"/>
  <c r="W27" i="61"/>
  <c r="R6" i="61"/>
  <c r="R8" i="61"/>
  <c r="R10" i="61"/>
  <c r="R12" i="61"/>
  <c r="R14" i="61"/>
  <c r="R16" i="61"/>
  <c r="R18" i="61"/>
  <c r="R20" i="61"/>
  <c r="R22" i="61"/>
  <c r="R24" i="61"/>
  <c r="R26" i="61"/>
  <c r="S5" i="61"/>
  <c r="S7" i="61"/>
  <c r="S9" i="61"/>
  <c r="S11" i="61"/>
  <c r="S13" i="61"/>
  <c r="S15" i="61"/>
  <c r="S17" i="61"/>
  <c r="S19" i="61"/>
  <c r="S21" i="61"/>
  <c r="S23" i="61"/>
  <c r="S25" i="61"/>
  <c r="U27" i="61"/>
  <c r="U30" i="61"/>
  <c r="U9" i="61"/>
  <c r="U13" i="61"/>
  <c r="U17" i="61"/>
  <c r="U21" i="61"/>
  <c r="U25" i="61"/>
  <c r="V28" i="61"/>
  <c r="V6" i="61"/>
  <c r="V8" i="61"/>
  <c r="V10" i="61"/>
  <c r="V12" i="61"/>
  <c r="V14" i="61"/>
  <c r="V16" i="61"/>
  <c r="V18" i="61"/>
  <c r="V20" i="61"/>
  <c r="V22" i="61"/>
  <c r="V24" i="61"/>
  <c r="V26" i="61"/>
  <c r="W5" i="61"/>
  <c r="W7" i="61"/>
  <c r="W9" i="61"/>
  <c r="W11" i="61"/>
  <c r="W13" i="61"/>
  <c r="W15" i="61"/>
  <c r="W17" i="61"/>
  <c r="W19" i="61"/>
  <c r="W21" i="61"/>
  <c r="W23" i="61"/>
  <c r="W25" i="61"/>
  <c r="R28" i="61"/>
  <c r="U5" i="61"/>
  <c r="U10" i="61"/>
  <c r="U14" i="61"/>
  <c r="U18" i="61"/>
  <c r="U22" i="61"/>
  <c r="U26" i="61"/>
  <c r="R5" i="61"/>
  <c r="R7" i="61"/>
  <c r="R9" i="61"/>
  <c r="R11" i="61"/>
  <c r="R13" i="61"/>
  <c r="R15" i="61"/>
  <c r="R17" i="61"/>
  <c r="R19" i="61"/>
  <c r="R21" i="61"/>
  <c r="R23" i="61"/>
  <c r="R25" i="61"/>
  <c r="S27" i="61"/>
  <c r="S6" i="61"/>
  <c r="S8" i="61"/>
  <c r="S10" i="61"/>
  <c r="S12" i="61"/>
  <c r="S14" i="61"/>
  <c r="S16" i="61"/>
  <c r="S18" i="61"/>
  <c r="S20" i="61"/>
  <c r="S22" i="61"/>
  <c r="S24" i="61"/>
  <c r="S26" i="61"/>
  <c r="M66" i="61"/>
  <c r="W4" i="61"/>
  <c r="M4" i="61"/>
  <c r="D6" i="61"/>
  <c r="D9" i="61"/>
  <c r="D8" i="61"/>
  <c r="D7" i="61"/>
  <c r="D54" i="61"/>
  <c r="D53" i="61"/>
  <c r="D44" i="61"/>
  <c r="D61" i="61"/>
  <c r="D12" i="61"/>
  <c r="D55" i="61"/>
  <c r="D18" i="61"/>
  <c r="D15" i="61"/>
  <c r="D17" i="61"/>
  <c r="D13" i="61"/>
  <c r="D20" i="61"/>
  <c r="D42" i="61"/>
  <c r="C5" i="61"/>
  <c r="I4" i="61"/>
  <c r="K4" i="61"/>
  <c r="D14" i="61"/>
  <c r="D46" i="61"/>
  <c r="D28" i="61"/>
  <c r="D27" i="61"/>
  <c r="D26" i="61"/>
  <c r="D25" i="61"/>
  <c r="D24" i="61"/>
  <c r="D19" i="61"/>
  <c r="X5" i="61"/>
  <c r="X4" i="61"/>
  <c r="L4" i="61"/>
  <c r="Q67" i="62"/>
  <c r="Q66" i="62"/>
  <c r="Q65" i="62"/>
  <c r="Q64" i="62"/>
  <c r="Q63" i="62"/>
  <c r="Q62" i="62"/>
  <c r="Q61" i="62"/>
  <c r="Q60" i="62"/>
  <c r="Q59" i="62"/>
  <c r="Q58" i="62"/>
  <c r="Q57" i="62"/>
  <c r="Q56" i="62"/>
  <c r="Q55" i="62"/>
  <c r="Q54" i="62"/>
  <c r="Q53" i="62"/>
  <c r="Q52" i="62"/>
  <c r="Q51" i="62"/>
  <c r="Q50" i="62"/>
  <c r="Q49" i="62"/>
  <c r="Q48" i="62"/>
  <c r="Q47" i="62"/>
  <c r="Q46" i="62"/>
  <c r="Q45" i="62"/>
  <c r="Q44" i="62"/>
  <c r="Q43" i="62"/>
  <c r="Q42" i="62"/>
  <c r="Q41" i="62"/>
  <c r="Q40" i="62"/>
  <c r="Q39" i="62"/>
  <c r="Q38" i="62"/>
  <c r="Q37" i="62"/>
  <c r="Q36" i="62"/>
  <c r="Q35" i="62"/>
  <c r="Q34" i="62"/>
  <c r="Q33" i="62"/>
  <c r="Q32" i="62"/>
  <c r="Q31" i="62"/>
  <c r="Q30" i="62"/>
  <c r="Q29" i="62"/>
  <c r="Q28" i="62"/>
  <c r="Q27" i="62"/>
  <c r="Q26" i="62"/>
  <c r="Q25" i="62"/>
  <c r="Q24" i="62"/>
  <c r="Q23" i="62"/>
  <c r="Q22" i="62"/>
  <c r="Q21" i="62"/>
  <c r="Q20" i="62"/>
  <c r="Q19" i="62"/>
  <c r="Q18" i="62"/>
  <c r="Q17" i="62"/>
  <c r="Q16" i="62"/>
  <c r="Q15" i="62"/>
  <c r="Q14" i="62"/>
  <c r="Q13" i="62"/>
  <c r="Q12" i="62"/>
  <c r="Q11" i="62"/>
  <c r="Q10" i="62"/>
  <c r="Q9" i="62"/>
  <c r="Q8" i="62"/>
  <c r="Q7" i="62"/>
  <c r="Q6" i="62"/>
  <c r="Q5" i="62"/>
  <c r="A6" i="62"/>
  <c r="A5" i="62"/>
  <c r="C4" i="62"/>
  <c r="B68" i="62"/>
  <c r="A68" i="62"/>
  <c r="M67" i="62"/>
  <c r="E67" i="62"/>
  <c r="D67" i="62"/>
  <c r="C67" i="62"/>
  <c r="B67" i="62"/>
  <c r="A67" i="62"/>
  <c r="E66" i="62"/>
  <c r="C66" i="62"/>
  <c r="B66" i="62"/>
  <c r="A66" i="62"/>
  <c r="M65" i="62"/>
  <c r="E65" i="62"/>
  <c r="D65" i="62"/>
  <c r="C65" i="62"/>
  <c r="B65" i="62"/>
  <c r="A65" i="62"/>
  <c r="M64" i="62"/>
  <c r="E64" i="62"/>
  <c r="D64" i="62"/>
  <c r="C64" i="62"/>
  <c r="B64" i="62"/>
  <c r="A64" i="62"/>
  <c r="M63" i="62"/>
  <c r="E63" i="62"/>
  <c r="D63" i="62"/>
  <c r="A63" i="62"/>
  <c r="M62" i="62"/>
  <c r="E62" i="62"/>
  <c r="D62" i="62"/>
  <c r="C62" i="62"/>
  <c r="M61" i="62"/>
  <c r="E61" i="62"/>
  <c r="C61" i="62"/>
  <c r="B61" i="62"/>
  <c r="A61" i="62"/>
  <c r="M60" i="62"/>
  <c r="E60" i="62"/>
  <c r="C60" i="62"/>
  <c r="B60" i="62"/>
  <c r="A60" i="62"/>
  <c r="M59" i="62"/>
  <c r="E59" i="62"/>
  <c r="C59" i="62"/>
  <c r="B59" i="62"/>
  <c r="A59" i="62"/>
  <c r="M58" i="62"/>
  <c r="E58" i="62"/>
  <c r="D58" i="62"/>
  <c r="C58" i="62"/>
  <c r="B58" i="62"/>
  <c r="A58" i="62"/>
  <c r="M57" i="62"/>
  <c r="E57" i="62"/>
  <c r="D57" i="62"/>
  <c r="A57" i="62"/>
  <c r="M56" i="62"/>
  <c r="E56" i="62"/>
  <c r="D56" i="62"/>
  <c r="C56" i="62"/>
  <c r="M55" i="62"/>
  <c r="E55" i="62"/>
  <c r="C55" i="62"/>
  <c r="B55" i="62"/>
  <c r="A55" i="62"/>
  <c r="M54" i="62"/>
  <c r="E54" i="62"/>
  <c r="C54" i="62"/>
  <c r="B54" i="62"/>
  <c r="A54" i="62"/>
  <c r="M53" i="62"/>
  <c r="E53" i="62"/>
  <c r="C53" i="62"/>
  <c r="B53" i="62"/>
  <c r="A53" i="62"/>
  <c r="M52" i="62"/>
  <c r="E52" i="62"/>
  <c r="D52" i="62"/>
  <c r="B52" i="62"/>
  <c r="A52" i="62"/>
  <c r="M51" i="62"/>
  <c r="E51" i="62"/>
  <c r="D51" i="62"/>
  <c r="M50" i="62"/>
  <c r="E50" i="62"/>
  <c r="D50" i="62"/>
  <c r="M49" i="62"/>
  <c r="E49" i="62"/>
  <c r="D49" i="62"/>
  <c r="C49" i="62"/>
  <c r="B49" i="62"/>
  <c r="A49" i="62"/>
  <c r="M48" i="62"/>
  <c r="E48" i="62"/>
  <c r="D48" i="62"/>
  <c r="C48" i="62"/>
  <c r="B48" i="62"/>
  <c r="A48" i="62"/>
  <c r="M47" i="62"/>
  <c r="E47" i="62"/>
  <c r="D47" i="62"/>
  <c r="C47" i="62"/>
  <c r="B47" i="62"/>
  <c r="A47" i="62"/>
  <c r="M46" i="62"/>
  <c r="E46" i="62"/>
  <c r="C46" i="62"/>
  <c r="B46" i="62"/>
  <c r="A46" i="62"/>
  <c r="M45" i="62"/>
  <c r="E45" i="62"/>
  <c r="D45" i="62"/>
  <c r="C45" i="62"/>
  <c r="B45" i="62"/>
  <c r="A45" i="62"/>
  <c r="M44" i="62"/>
  <c r="E44" i="62"/>
  <c r="C44" i="62"/>
  <c r="B44" i="62"/>
  <c r="A44" i="62"/>
  <c r="M43" i="62"/>
  <c r="E43" i="62"/>
  <c r="C43" i="62"/>
  <c r="B43" i="62"/>
  <c r="A43" i="62"/>
  <c r="M42" i="62"/>
  <c r="E42" i="62"/>
  <c r="C42" i="62"/>
  <c r="B42" i="62"/>
  <c r="A42" i="62"/>
  <c r="M41" i="62"/>
  <c r="E41" i="62"/>
  <c r="D41" i="62"/>
  <c r="B41" i="62"/>
  <c r="A41" i="62"/>
  <c r="M40" i="62"/>
  <c r="E40" i="62"/>
  <c r="D40" i="62"/>
  <c r="M39" i="62"/>
  <c r="E39" i="62"/>
  <c r="D39" i="62"/>
  <c r="C39" i="62"/>
  <c r="B39" i="62"/>
  <c r="A39" i="62"/>
  <c r="M38" i="62"/>
  <c r="E38" i="62"/>
  <c r="D38" i="62"/>
  <c r="C38" i="62"/>
  <c r="B38" i="62"/>
  <c r="A38" i="62"/>
  <c r="M37" i="62"/>
  <c r="E37" i="62"/>
  <c r="D37" i="62"/>
  <c r="C37" i="62"/>
  <c r="B37" i="62"/>
  <c r="A37" i="62"/>
  <c r="M36" i="62"/>
  <c r="E36" i="62"/>
  <c r="D36" i="62"/>
  <c r="C36" i="62"/>
  <c r="B36" i="62"/>
  <c r="A36" i="62"/>
  <c r="M35" i="62"/>
  <c r="E35" i="62"/>
  <c r="D35" i="62"/>
  <c r="C35" i="62"/>
  <c r="B35" i="62"/>
  <c r="A35" i="62"/>
  <c r="M34" i="62"/>
  <c r="E34" i="62"/>
  <c r="D34" i="62"/>
  <c r="C34" i="62"/>
  <c r="B34" i="62"/>
  <c r="A34" i="62"/>
  <c r="M33" i="62"/>
  <c r="E33" i="62"/>
  <c r="D33" i="62"/>
  <c r="C33" i="62"/>
  <c r="B33" i="62"/>
  <c r="A33" i="62"/>
  <c r="M32" i="62"/>
  <c r="E32" i="62"/>
  <c r="D32" i="62"/>
  <c r="M31" i="62"/>
  <c r="E31" i="62"/>
  <c r="D31" i="62"/>
  <c r="C31" i="62"/>
  <c r="B31" i="62"/>
  <c r="A31" i="62"/>
  <c r="M30" i="62"/>
  <c r="E30" i="62"/>
  <c r="D30" i="62"/>
  <c r="C30" i="62"/>
  <c r="B30" i="62"/>
  <c r="A30" i="62"/>
  <c r="M29" i="62"/>
  <c r="E29" i="62"/>
  <c r="D29" i="62"/>
  <c r="C29" i="62"/>
  <c r="B29" i="62"/>
  <c r="A29" i="62"/>
  <c r="M28" i="62"/>
  <c r="E28" i="62"/>
  <c r="C28" i="62"/>
  <c r="B28" i="62"/>
  <c r="A28" i="62"/>
  <c r="M27" i="62"/>
  <c r="E27" i="62"/>
  <c r="C27" i="62"/>
  <c r="B27" i="62"/>
  <c r="A27" i="62"/>
  <c r="M26" i="62"/>
  <c r="E26" i="62"/>
  <c r="C26" i="62"/>
  <c r="B26" i="62"/>
  <c r="A26" i="62"/>
  <c r="M25" i="62"/>
  <c r="E25" i="62"/>
  <c r="C25" i="62"/>
  <c r="B25" i="62"/>
  <c r="A25" i="62"/>
  <c r="M24" i="62"/>
  <c r="E24" i="62"/>
  <c r="C24" i="62"/>
  <c r="B24" i="62"/>
  <c r="A24" i="62"/>
  <c r="M23" i="62"/>
  <c r="M22" i="62"/>
  <c r="E22" i="62"/>
  <c r="D22" i="62"/>
  <c r="C22" i="62"/>
  <c r="B22" i="62"/>
  <c r="A22" i="62"/>
  <c r="M21" i="62"/>
  <c r="E21" i="62"/>
  <c r="D21" i="62"/>
  <c r="C21" i="62"/>
  <c r="B21" i="62"/>
  <c r="A21" i="62"/>
  <c r="M20" i="62"/>
  <c r="E20" i="62"/>
  <c r="C20" i="62"/>
  <c r="B20" i="62"/>
  <c r="A20" i="62"/>
  <c r="M19" i="62"/>
  <c r="E19" i="62"/>
  <c r="C19" i="62"/>
  <c r="B19" i="62"/>
  <c r="A19" i="62"/>
  <c r="M18" i="62"/>
  <c r="E18" i="62"/>
  <c r="C18" i="62"/>
  <c r="B18" i="62"/>
  <c r="A18" i="62"/>
  <c r="M17" i="62"/>
  <c r="E17" i="62"/>
  <c r="C17" i="62"/>
  <c r="B17" i="62"/>
  <c r="A17" i="62"/>
  <c r="M16" i="62"/>
  <c r="D16" i="62"/>
  <c r="M15" i="62"/>
  <c r="E15" i="62"/>
  <c r="C15" i="62"/>
  <c r="B15" i="62"/>
  <c r="A15" i="62"/>
  <c r="M14" i="62"/>
  <c r="E14" i="62"/>
  <c r="C14" i="62"/>
  <c r="B14" i="62"/>
  <c r="A14" i="62"/>
  <c r="M13" i="62"/>
  <c r="E13" i="62"/>
  <c r="C13" i="62"/>
  <c r="B13" i="62"/>
  <c r="A13" i="62"/>
  <c r="M12" i="62"/>
  <c r="E12" i="62"/>
  <c r="C12" i="62"/>
  <c r="B12" i="62"/>
  <c r="A12" i="62"/>
  <c r="M11" i="62"/>
  <c r="D11" i="62"/>
  <c r="B11" i="62"/>
  <c r="A11" i="62"/>
  <c r="M10" i="62"/>
  <c r="D10" i="62"/>
  <c r="M9" i="62"/>
  <c r="E9" i="62"/>
  <c r="C9" i="62"/>
  <c r="B9" i="62"/>
  <c r="A9" i="62"/>
  <c r="M8" i="62"/>
  <c r="E8" i="62"/>
  <c r="C8" i="62"/>
  <c r="B8" i="62"/>
  <c r="A8" i="62"/>
  <c r="M7" i="62"/>
  <c r="E7" i="62"/>
  <c r="C7" i="62"/>
  <c r="B7" i="62"/>
  <c r="A7" i="62"/>
  <c r="M6" i="62"/>
  <c r="E6" i="62"/>
  <c r="C6" i="62"/>
  <c r="B6" i="62"/>
  <c r="M5" i="62"/>
  <c r="B5" i="62"/>
  <c r="B2" i="62"/>
  <c r="D43" i="62"/>
  <c r="Q68" i="62"/>
  <c r="M68" i="62"/>
  <c r="M66" i="62"/>
  <c r="T7" i="62"/>
  <c r="X6" i="62"/>
  <c r="S6" i="62"/>
  <c r="W5" i="62"/>
  <c r="R5" i="62"/>
  <c r="V22" i="62"/>
  <c r="T6" i="62"/>
  <c r="S9" i="62"/>
  <c r="R12" i="62"/>
  <c r="T14" i="62"/>
  <c r="S17" i="62"/>
  <c r="S21" i="62"/>
  <c r="V6" i="62"/>
  <c r="X8" i="62"/>
  <c r="W11" i="62"/>
  <c r="V14" i="62"/>
  <c r="X16" i="62"/>
  <c r="W20" i="62"/>
  <c r="R6" i="62"/>
  <c r="T8" i="62"/>
  <c r="S11" i="62"/>
  <c r="R14" i="62"/>
  <c r="T16" i="62"/>
  <c r="R20" i="62"/>
  <c r="W9" i="62"/>
  <c r="V12" i="62"/>
  <c r="X14" i="62"/>
  <c r="W18" i="62"/>
  <c r="T67" i="62"/>
  <c r="T65" i="62"/>
  <c r="T63" i="62"/>
  <c r="T61" i="62"/>
  <c r="T59" i="62"/>
  <c r="T57" i="62"/>
  <c r="T55" i="62"/>
  <c r="T53" i="62"/>
  <c r="T51" i="62"/>
  <c r="T49" i="62"/>
  <c r="T47" i="62"/>
  <c r="T45" i="62"/>
  <c r="T43" i="62"/>
  <c r="T41" i="62"/>
  <c r="T39" i="62"/>
  <c r="T37" i="62"/>
  <c r="T35" i="62"/>
  <c r="T33" i="62"/>
  <c r="T31" i="62"/>
  <c r="T29" i="62"/>
  <c r="T27" i="62"/>
  <c r="W67" i="62"/>
  <c r="W65" i="62"/>
  <c r="W63" i="62"/>
  <c r="W61" i="62"/>
  <c r="W59" i="62"/>
  <c r="W57" i="62"/>
  <c r="W55" i="62"/>
  <c r="W53" i="62"/>
  <c r="W51" i="62"/>
  <c r="W49" i="62"/>
  <c r="W47" i="62"/>
  <c r="W45" i="62"/>
  <c r="W43" i="62"/>
  <c r="W41" i="62"/>
  <c r="W39" i="62"/>
  <c r="W37" i="62"/>
  <c r="W35" i="62"/>
  <c r="W33" i="62"/>
  <c r="W31" i="62"/>
  <c r="R68" i="62"/>
  <c r="R66" i="62"/>
  <c r="R64" i="62"/>
  <c r="R62" i="62"/>
  <c r="R60" i="62"/>
  <c r="R58" i="62"/>
  <c r="R56" i="62"/>
  <c r="R54" i="62"/>
  <c r="R52" i="62"/>
  <c r="R50" i="62"/>
  <c r="R48" i="62"/>
  <c r="R46" i="62"/>
  <c r="R44" i="62"/>
  <c r="R42" i="62"/>
  <c r="R40" i="62"/>
  <c r="R38" i="62"/>
  <c r="R36" i="62"/>
  <c r="R34" i="62"/>
  <c r="R32" i="62"/>
  <c r="R30" i="62"/>
  <c r="U66" i="62"/>
  <c r="R21" i="62"/>
  <c r="V7" i="62"/>
  <c r="X9" i="62"/>
  <c r="W12" i="62"/>
  <c r="V15" i="62"/>
  <c r="R18" i="62"/>
  <c r="R22" i="62"/>
  <c r="R7" i="62"/>
  <c r="T9" i="62"/>
  <c r="S12" i="62"/>
  <c r="R15" i="62"/>
  <c r="V17" i="62"/>
  <c r="V21" i="62"/>
  <c r="W6" i="62"/>
  <c r="V9" i="62"/>
  <c r="X11" i="62"/>
  <c r="W14" i="62"/>
  <c r="W17" i="62"/>
  <c r="W21" i="62"/>
  <c r="S10" i="62"/>
  <c r="R13" i="62"/>
  <c r="T15" i="62"/>
  <c r="V19" i="62"/>
  <c r="X68" i="62"/>
  <c r="X66" i="62"/>
  <c r="X64" i="62"/>
  <c r="X62" i="62"/>
  <c r="X60" i="62"/>
  <c r="X58" i="62"/>
  <c r="X56" i="62"/>
  <c r="X54" i="62"/>
  <c r="X52" i="62"/>
  <c r="X50" i="62"/>
  <c r="X48" i="62"/>
  <c r="X46" i="62"/>
  <c r="X44" i="62"/>
  <c r="X42" i="62"/>
  <c r="X40" i="62"/>
  <c r="X38" i="62"/>
  <c r="X36" i="62"/>
  <c r="X34" i="62"/>
  <c r="X32" i="62"/>
  <c r="X30" i="62"/>
  <c r="X28" i="62"/>
  <c r="X26" i="62"/>
  <c r="S67" i="62"/>
  <c r="S65" i="62"/>
  <c r="S63" i="62"/>
  <c r="S61" i="62"/>
  <c r="S59" i="62"/>
  <c r="S57" i="62"/>
  <c r="S55" i="62"/>
  <c r="S53" i="62"/>
  <c r="S51" i="62"/>
  <c r="S49" i="62"/>
  <c r="S47" i="62"/>
  <c r="S45" i="62"/>
  <c r="S43" i="62"/>
  <c r="S41" i="62"/>
  <c r="S39" i="62"/>
  <c r="S37" i="62"/>
  <c r="S35" i="62"/>
  <c r="S33" i="62"/>
  <c r="S31" i="62"/>
  <c r="V67" i="62"/>
  <c r="V65" i="62"/>
  <c r="V63" i="62"/>
  <c r="V61" i="62"/>
  <c r="V59" i="62"/>
  <c r="V57" i="62"/>
  <c r="V55" i="62"/>
  <c r="V53" i="62"/>
  <c r="V51" i="62"/>
  <c r="V49" i="62"/>
  <c r="V47" i="62"/>
  <c r="V45" i="62"/>
  <c r="V43" i="62"/>
  <c r="V41" i="62"/>
  <c r="V39" i="62"/>
  <c r="V37" i="62"/>
  <c r="V35" i="62"/>
  <c r="V33" i="62"/>
  <c r="V31" i="62"/>
  <c r="V29" i="62"/>
  <c r="U65" i="62"/>
  <c r="S5" i="62"/>
  <c r="R8" i="62"/>
  <c r="T10" i="62"/>
  <c r="S13" i="62"/>
  <c r="R16" i="62"/>
  <c r="W19" i="62"/>
  <c r="R23" i="62"/>
  <c r="W7" i="62"/>
  <c r="V10" i="62"/>
  <c r="X12" i="62"/>
  <c r="W15" i="62"/>
  <c r="S18" i="62"/>
  <c r="S22" i="62"/>
  <c r="S7" i="62"/>
  <c r="R10" i="62"/>
  <c r="T12" i="62"/>
  <c r="S15" i="62"/>
  <c r="V18" i="62"/>
  <c r="V8" i="62"/>
  <c r="X10" i="62"/>
  <c r="W13" i="62"/>
  <c r="V16" i="62"/>
  <c r="S20" i="62"/>
  <c r="T68" i="62"/>
  <c r="T66" i="62"/>
  <c r="T64" i="62"/>
  <c r="T62" i="62"/>
  <c r="T60" i="62"/>
  <c r="T58" i="62"/>
  <c r="T56" i="62"/>
  <c r="T54" i="62"/>
  <c r="T52" i="62"/>
  <c r="T50" i="62"/>
  <c r="T48" i="62"/>
  <c r="T46" i="62"/>
  <c r="T44" i="62"/>
  <c r="T42" i="62"/>
  <c r="T40" i="62"/>
  <c r="T38" i="62"/>
  <c r="T36" i="62"/>
  <c r="T34" i="62"/>
  <c r="T32" i="62"/>
  <c r="T30" i="62"/>
  <c r="T28" i="62"/>
  <c r="W68" i="62"/>
  <c r="W66" i="62"/>
  <c r="W64" i="62"/>
  <c r="W62" i="62"/>
  <c r="W60" i="62"/>
  <c r="W58" i="62"/>
  <c r="W56" i="62"/>
  <c r="W54" i="62"/>
  <c r="W52" i="62"/>
  <c r="W50" i="62"/>
  <c r="W48" i="62"/>
  <c r="W46" i="62"/>
  <c r="W44" i="62"/>
  <c r="W42" i="62"/>
  <c r="W40" i="62"/>
  <c r="W38" i="62"/>
  <c r="W36" i="62"/>
  <c r="W34" i="62"/>
  <c r="W32" i="62"/>
  <c r="W30" i="62"/>
  <c r="R67" i="62"/>
  <c r="R65" i="62"/>
  <c r="R63" i="62"/>
  <c r="R61" i="62"/>
  <c r="R59" i="62"/>
  <c r="R57" i="62"/>
  <c r="R55" i="62"/>
  <c r="R53" i="62"/>
  <c r="R51" i="62"/>
  <c r="R49" i="62"/>
  <c r="R47" i="62"/>
  <c r="R45" i="62"/>
  <c r="R43" i="62"/>
  <c r="R41" i="62"/>
  <c r="R39" i="62"/>
  <c r="R37" i="62"/>
  <c r="R35" i="62"/>
  <c r="R33" i="62"/>
  <c r="R31" i="62"/>
  <c r="U68" i="62"/>
  <c r="X5" i="62"/>
  <c r="W8" i="62"/>
  <c r="V11" i="62"/>
  <c r="X13" i="62"/>
  <c r="W16" i="62"/>
  <c r="V20" i="62"/>
  <c r="T5" i="62"/>
  <c r="S8" i="62"/>
  <c r="R11" i="62"/>
  <c r="T13" i="62"/>
  <c r="S16" i="62"/>
  <c r="R19" i="62"/>
  <c r="V5" i="62"/>
  <c r="X7" i="62"/>
  <c r="W10" i="62"/>
  <c r="V13" i="62"/>
  <c r="X15" i="62"/>
  <c r="S19" i="62"/>
  <c r="R9" i="62"/>
  <c r="T11" i="62"/>
  <c r="S14" i="62"/>
  <c r="R17" i="62"/>
  <c r="X67" i="62"/>
  <c r="X65" i="62"/>
  <c r="X63" i="62"/>
  <c r="X61" i="62"/>
  <c r="X59" i="62"/>
  <c r="X57" i="62"/>
  <c r="X55" i="62"/>
  <c r="X53" i="62"/>
  <c r="X51" i="62"/>
  <c r="X49" i="62"/>
  <c r="X47" i="62"/>
  <c r="X45" i="62"/>
  <c r="X43" i="62"/>
  <c r="X41" i="62"/>
  <c r="X39" i="62"/>
  <c r="X37" i="62"/>
  <c r="X35" i="62"/>
  <c r="X33" i="62"/>
  <c r="X31" i="62"/>
  <c r="X29" i="62"/>
  <c r="X27" i="62"/>
  <c r="S68" i="62"/>
  <c r="S66" i="62"/>
  <c r="S64" i="62"/>
  <c r="S62" i="62"/>
  <c r="S60" i="62"/>
  <c r="S58" i="62"/>
  <c r="S56" i="62"/>
  <c r="S54" i="62"/>
  <c r="S52" i="62"/>
  <c r="S50" i="62"/>
  <c r="S48" i="62"/>
  <c r="S46" i="62"/>
  <c r="S44" i="62"/>
  <c r="S42" i="62"/>
  <c r="S40" i="62"/>
  <c r="S38" i="62"/>
  <c r="S36" i="62"/>
  <c r="S34" i="62"/>
  <c r="S32" i="62"/>
  <c r="V68" i="62"/>
  <c r="V66" i="62"/>
  <c r="V64" i="62"/>
  <c r="V62" i="62"/>
  <c r="V60" i="62"/>
  <c r="V58" i="62"/>
  <c r="V56" i="62"/>
  <c r="V54" i="62"/>
  <c r="V52" i="62"/>
  <c r="V50" i="62"/>
  <c r="V48" i="62"/>
  <c r="V46" i="62"/>
  <c r="V44" i="62"/>
  <c r="V42" i="62"/>
  <c r="V40" i="62"/>
  <c r="V38" i="62"/>
  <c r="V36" i="62"/>
  <c r="V34" i="62"/>
  <c r="V32" i="62"/>
  <c r="V30" i="62"/>
  <c r="U67" i="62"/>
  <c r="U63" i="62"/>
  <c r="U59" i="62"/>
  <c r="U61" i="62"/>
  <c r="U56" i="62"/>
  <c r="U52" i="62"/>
  <c r="U48" i="62"/>
  <c r="U44" i="62"/>
  <c r="U40" i="62"/>
  <c r="U36" i="62"/>
  <c r="U32" i="62"/>
  <c r="U28" i="62"/>
  <c r="U6" i="62"/>
  <c r="U10" i="62"/>
  <c r="U14" i="62"/>
  <c r="U18" i="62"/>
  <c r="U22" i="62"/>
  <c r="V26" i="62"/>
  <c r="R24" i="62"/>
  <c r="R26" i="62"/>
  <c r="R29" i="62"/>
  <c r="W23" i="62"/>
  <c r="W25" i="62"/>
  <c r="S29" i="62"/>
  <c r="X18" i="62"/>
  <c r="X20" i="62"/>
  <c r="X24" i="62"/>
  <c r="R27" i="62"/>
  <c r="U60" i="62"/>
  <c r="U55" i="62"/>
  <c r="U51" i="62"/>
  <c r="U47" i="62"/>
  <c r="U43" i="62"/>
  <c r="U39" i="62"/>
  <c r="U35" i="62"/>
  <c r="U31" i="62"/>
  <c r="U27" i="62"/>
  <c r="U7" i="62"/>
  <c r="U11" i="62"/>
  <c r="U15" i="62"/>
  <c r="U19" i="62"/>
  <c r="U23" i="62"/>
  <c r="S27" i="62"/>
  <c r="V24" i="62"/>
  <c r="W26" i="62"/>
  <c r="S30" i="62"/>
  <c r="S24" i="62"/>
  <c r="S26" i="62"/>
  <c r="T17" i="62"/>
  <c r="T19" i="62"/>
  <c r="T21" i="62"/>
  <c r="T23" i="62"/>
  <c r="T25" i="62"/>
  <c r="W28" i="62"/>
  <c r="U64" i="62"/>
  <c r="U58" i="62"/>
  <c r="U54" i="62"/>
  <c r="U50" i="62"/>
  <c r="U46" i="62"/>
  <c r="U42" i="62"/>
  <c r="U38" i="62"/>
  <c r="U34" i="62"/>
  <c r="U30" i="62"/>
  <c r="U26" i="62"/>
  <c r="U8" i="62"/>
  <c r="U12" i="62"/>
  <c r="U16" i="62"/>
  <c r="U20" i="62"/>
  <c r="U24" i="62"/>
  <c r="R28" i="62"/>
  <c r="R25" i="62"/>
  <c r="V27" i="62"/>
  <c r="W22" i="62"/>
  <c r="W24" i="62"/>
  <c r="W27" i="62"/>
  <c r="X17" i="62"/>
  <c r="X19" i="62"/>
  <c r="X21" i="62"/>
  <c r="X23" i="62"/>
  <c r="X25" i="62"/>
  <c r="W29" i="62"/>
  <c r="U62" i="62"/>
  <c r="U57" i="62"/>
  <c r="U53" i="62"/>
  <c r="U49" i="62"/>
  <c r="U45" i="62"/>
  <c r="U41" i="62"/>
  <c r="U37" i="62"/>
  <c r="U33" i="62"/>
  <c r="U29" i="62"/>
  <c r="U5" i="62"/>
  <c r="U9" i="62"/>
  <c r="U13" i="62"/>
  <c r="U17" i="62"/>
  <c r="U21" i="62"/>
  <c r="U25" i="62"/>
  <c r="V23" i="62"/>
  <c r="V25" i="62"/>
  <c r="S28" i="62"/>
  <c r="S23" i="62"/>
  <c r="S25" i="62"/>
  <c r="V28" i="62"/>
  <c r="T18" i="62"/>
  <c r="T20" i="62"/>
  <c r="T22" i="62"/>
  <c r="T24" i="62"/>
  <c r="T26" i="62"/>
  <c r="X22" i="62"/>
  <c r="L4" i="62"/>
  <c r="M4" i="62"/>
  <c r="W4" i="62"/>
  <c r="X4" i="62"/>
  <c r="D6" i="62"/>
  <c r="D9" i="62"/>
  <c r="D8" i="62"/>
  <c r="D7" i="62"/>
  <c r="D54" i="62"/>
  <c r="D53" i="62"/>
  <c r="D44" i="62"/>
  <c r="D61" i="62"/>
  <c r="D66" i="62"/>
  <c r="D12" i="62"/>
  <c r="D55" i="62"/>
  <c r="D18" i="62"/>
  <c r="D15" i="62"/>
  <c r="D17" i="62"/>
  <c r="D13" i="62"/>
  <c r="D20" i="62"/>
  <c r="D42" i="62"/>
  <c r="C5" i="62"/>
  <c r="I4" i="62"/>
  <c r="K4" i="62"/>
  <c r="D14" i="62"/>
  <c r="D46" i="62"/>
  <c r="D28" i="62"/>
  <c r="D27" i="62"/>
  <c r="D26" i="62"/>
  <c r="D25" i="62"/>
  <c r="D24" i="62"/>
  <c r="D19" i="62"/>
  <c r="Q67" i="63"/>
  <c r="Q66" i="63"/>
  <c r="Q65" i="63"/>
  <c r="Q64" i="63"/>
  <c r="Q63" i="63"/>
  <c r="Q62" i="63"/>
  <c r="Q61" i="63"/>
  <c r="Q60" i="63"/>
  <c r="Q59" i="63"/>
  <c r="Q58" i="63"/>
  <c r="Q57" i="63"/>
  <c r="Q56" i="63"/>
  <c r="Q55" i="63"/>
  <c r="Q54" i="63"/>
  <c r="Q53" i="63"/>
  <c r="Q52" i="63"/>
  <c r="Q51" i="63"/>
  <c r="Q50" i="63"/>
  <c r="Q49" i="63"/>
  <c r="Q48" i="63"/>
  <c r="Q47" i="63"/>
  <c r="Q46" i="63"/>
  <c r="Q45" i="63"/>
  <c r="Q44" i="63"/>
  <c r="Q43" i="63"/>
  <c r="Q42" i="63"/>
  <c r="Q41" i="63"/>
  <c r="Q40" i="63"/>
  <c r="Q39" i="63"/>
  <c r="Q38" i="63"/>
  <c r="Q37" i="63"/>
  <c r="Q36" i="63"/>
  <c r="Q35" i="63"/>
  <c r="Q34" i="63"/>
  <c r="Q33" i="63"/>
  <c r="Q32" i="63"/>
  <c r="Q31" i="63"/>
  <c r="Q30" i="63"/>
  <c r="Q29" i="63"/>
  <c r="Q28" i="63"/>
  <c r="Q27" i="63"/>
  <c r="Q26" i="63"/>
  <c r="Q25" i="63"/>
  <c r="Q24" i="63"/>
  <c r="Q23" i="63"/>
  <c r="Q22" i="63"/>
  <c r="Q21" i="63"/>
  <c r="Q20" i="63"/>
  <c r="Q19" i="63"/>
  <c r="Q18" i="63"/>
  <c r="Q17" i="63"/>
  <c r="Q16" i="63"/>
  <c r="Q15" i="63"/>
  <c r="Q14" i="63"/>
  <c r="Q13" i="63"/>
  <c r="Q12" i="63"/>
  <c r="Q11" i="63"/>
  <c r="Q10" i="63"/>
  <c r="Q9" i="63"/>
  <c r="Q8" i="63"/>
  <c r="Q7" i="63"/>
  <c r="Q6" i="63"/>
  <c r="Q5" i="63"/>
  <c r="A6" i="63"/>
  <c r="A5" i="63"/>
  <c r="B68" i="63"/>
  <c r="A68" i="63"/>
  <c r="M67" i="63"/>
  <c r="E67" i="63"/>
  <c r="D67" i="63"/>
  <c r="C67" i="63"/>
  <c r="B67" i="63"/>
  <c r="A67" i="63"/>
  <c r="M66" i="63"/>
  <c r="E66" i="63"/>
  <c r="C66" i="63"/>
  <c r="B66" i="63"/>
  <c r="A66" i="63"/>
  <c r="M65" i="63"/>
  <c r="E65" i="63"/>
  <c r="D65" i="63"/>
  <c r="C65" i="63"/>
  <c r="B65" i="63"/>
  <c r="A65" i="63"/>
  <c r="M64" i="63"/>
  <c r="E64" i="63"/>
  <c r="D64" i="63"/>
  <c r="C64" i="63"/>
  <c r="B64" i="63"/>
  <c r="A64" i="63"/>
  <c r="M63" i="63"/>
  <c r="E63" i="63"/>
  <c r="D63" i="63"/>
  <c r="A63" i="63"/>
  <c r="M62" i="63"/>
  <c r="E62" i="63"/>
  <c r="D62" i="63"/>
  <c r="C62" i="63"/>
  <c r="M61" i="63"/>
  <c r="E61" i="63"/>
  <c r="C61" i="63"/>
  <c r="B61" i="63"/>
  <c r="A61" i="63"/>
  <c r="M60" i="63"/>
  <c r="E60" i="63"/>
  <c r="C60" i="63"/>
  <c r="B60" i="63"/>
  <c r="A60" i="63"/>
  <c r="M59" i="63"/>
  <c r="E59" i="63"/>
  <c r="C59" i="63"/>
  <c r="B59" i="63"/>
  <c r="A59" i="63"/>
  <c r="M58" i="63"/>
  <c r="E58" i="63"/>
  <c r="D58" i="63"/>
  <c r="C58" i="63"/>
  <c r="B58" i="63"/>
  <c r="A58" i="63"/>
  <c r="M57" i="63"/>
  <c r="E57" i="63"/>
  <c r="D57" i="63"/>
  <c r="A57" i="63"/>
  <c r="M56" i="63"/>
  <c r="E56" i="63"/>
  <c r="D56" i="63"/>
  <c r="C56" i="63"/>
  <c r="M55" i="63"/>
  <c r="E55" i="63"/>
  <c r="C55" i="63"/>
  <c r="B55" i="63"/>
  <c r="A55" i="63"/>
  <c r="M54" i="63"/>
  <c r="E54" i="63"/>
  <c r="C54" i="63"/>
  <c r="B54" i="63"/>
  <c r="A54" i="63"/>
  <c r="M53" i="63"/>
  <c r="E53" i="63"/>
  <c r="C53" i="63"/>
  <c r="B53" i="63"/>
  <c r="A53" i="63"/>
  <c r="M52" i="63"/>
  <c r="E52" i="63"/>
  <c r="D52" i="63"/>
  <c r="B52" i="63"/>
  <c r="A52" i="63"/>
  <c r="M51" i="63"/>
  <c r="E51" i="63"/>
  <c r="D51" i="63"/>
  <c r="M50" i="63"/>
  <c r="E50" i="63"/>
  <c r="D50" i="63"/>
  <c r="M49" i="63"/>
  <c r="E49" i="63"/>
  <c r="D49" i="63"/>
  <c r="C49" i="63"/>
  <c r="B49" i="63"/>
  <c r="A49" i="63"/>
  <c r="M48" i="63"/>
  <c r="E48" i="63"/>
  <c r="D48" i="63"/>
  <c r="C48" i="63"/>
  <c r="B48" i="63"/>
  <c r="A48" i="63"/>
  <c r="M47" i="63"/>
  <c r="E47" i="63"/>
  <c r="D47" i="63"/>
  <c r="C47" i="63"/>
  <c r="B47" i="63"/>
  <c r="A47" i="63"/>
  <c r="M46" i="63"/>
  <c r="E46" i="63"/>
  <c r="C46" i="63"/>
  <c r="B46" i="63"/>
  <c r="A46" i="63"/>
  <c r="M45" i="63"/>
  <c r="E45" i="63"/>
  <c r="D45" i="63"/>
  <c r="C45" i="63"/>
  <c r="B45" i="63"/>
  <c r="A45" i="63"/>
  <c r="M44" i="63"/>
  <c r="E44" i="63"/>
  <c r="C44" i="63"/>
  <c r="B44" i="63"/>
  <c r="A44" i="63"/>
  <c r="M43" i="63"/>
  <c r="E43" i="63"/>
  <c r="C43" i="63"/>
  <c r="B43" i="63"/>
  <c r="A43" i="63"/>
  <c r="M42" i="63"/>
  <c r="E42" i="63"/>
  <c r="C42" i="63"/>
  <c r="B42" i="63"/>
  <c r="A42" i="63"/>
  <c r="M41" i="63"/>
  <c r="E41" i="63"/>
  <c r="D41" i="63"/>
  <c r="B41" i="63"/>
  <c r="A41" i="63"/>
  <c r="M40" i="63"/>
  <c r="E40" i="63"/>
  <c r="D40" i="63"/>
  <c r="M39" i="63"/>
  <c r="E39" i="63"/>
  <c r="D39" i="63"/>
  <c r="C39" i="63"/>
  <c r="B39" i="63"/>
  <c r="A39" i="63"/>
  <c r="M38" i="63"/>
  <c r="E38" i="63"/>
  <c r="D38" i="63"/>
  <c r="C38" i="63"/>
  <c r="B38" i="63"/>
  <c r="A38" i="63"/>
  <c r="M37" i="63"/>
  <c r="E37" i="63"/>
  <c r="D37" i="63"/>
  <c r="C37" i="63"/>
  <c r="B37" i="63"/>
  <c r="A37" i="63"/>
  <c r="M36" i="63"/>
  <c r="E36" i="63"/>
  <c r="D36" i="63"/>
  <c r="C36" i="63"/>
  <c r="B36" i="63"/>
  <c r="A36" i="63"/>
  <c r="M35" i="63"/>
  <c r="E35" i="63"/>
  <c r="D35" i="63"/>
  <c r="C35" i="63"/>
  <c r="B35" i="63"/>
  <c r="A35" i="63"/>
  <c r="M34" i="63"/>
  <c r="E34" i="63"/>
  <c r="D34" i="63"/>
  <c r="C34" i="63"/>
  <c r="B34" i="63"/>
  <c r="A34" i="63"/>
  <c r="M33" i="63"/>
  <c r="E33" i="63"/>
  <c r="D33" i="63"/>
  <c r="C33" i="63"/>
  <c r="B33" i="63"/>
  <c r="A33" i="63"/>
  <c r="M32" i="63"/>
  <c r="E32" i="63"/>
  <c r="D32" i="63"/>
  <c r="M31" i="63"/>
  <c r="E31" i="63"/>
  <c r="D31" i="63"/>
  <c r="C31" i="63"/>
  <c r="B31" i="63"/>
  <c r="A31" i="63"/>
  <c r="M30" i="63"/>
  <c r="E30" i="63"/>
  <c r="D30" i="63"/>
  <c r="C30" i="63"/>
  <c r="B30" i="63"/>
  <c r="A30" i="63"/>
  <c r="M29" i="63"/>
  <c r="E29" i="63"/>
  <c r="D29" i="63"/>
  <c r="C29" i="63"/>
  <c r="B29" i="63"/>
  <c r="A29" i="63"/>
  <c r="M28" i="63"/>
  <c r="E28" i="63"/>
  <c r="C28" i="63"/>
  <c r="B28" i="63"/>
  <c r="A28" i="63"/>
  <c r="M27" i="63"/>
  <c r="E27" i="63"/>
  <c r="C27" i="63"/>
  <c r="B27" i="63"/>
  <c r="A27" i="63"/>
  <c r="M26" i="63"/>
  <c r="E26" i="63"/>
  <c r="C26" i="63"/>
  <c r="B26" i="63"/>
  <c r="A26" i="63"/>
  <c r="M25" i="63"/>
  <c r="E25" i="63"/>
  <c r="C25" i="63"/>
  <c r="B25" i="63"/>
  <c r="A25" i="63"/>
  <c r="M24" i="63"/>
  <c r="E24" i="63"/>
  <c r="C24" i="63"/>
  <c r="B24" i="63"/>
  <c r="A24" i="63"/>
  <c r="M23" i="63"/>
  <c r="M22" i="63"/>
  <c r="E22" i="63"/>
  <c r="D22" i="63"/>
  <c r="C22" i="63"/>
  <c r="B22" i="63"/>
  <c r="A22" i="63"/>
  <c r="M21" i="63"/>
  <c r="E21" i="63"/>
  <c r="D21" i="63"/>
  <c r="C21" i="63"/>
  <c r="B21" i="63"/>
  <c r="A21" i="63"/>
  <c r="M20" i="63"/>
  <c r="E20" i="63"/>
  <c r="C20" i="63"/>
  <c r="B20" i="63"/>
  <c r="A20" i="63"/>
  <c r="M19" i="63"/>
  <c r="E19" i="63"/>
  <c r="C19" i="63"/>
  <c r="B19" i="63"/>
  <c r="A19" i="63"/>
  <c r="M18" i="63"/>
  <c r="E18" i="63"/>
  <c r="C18" i="63"/>
  <c r="B18" i="63"/>
  <c r="A18" i="63"/>
  <c r="M17" i="63"/>
  <c r="E17" i="63"/>
  <c r="C17" i="63"/>
  <c r="B17" i="63"/>
  <c r="A17" i="63"/>
  <c r="M16" i="63"/>
  <c r="D16" i="63"/>
  <c r="M15" i="63"/>
  <c r="E15" i="63"/>
  <c r="C15" i="63"/>
  <c r="B15" i="63"/>
  <c r="A15" i="63"/>
  <c r="M14" i="63"/>
  <c r="E14" i="63"/>
  <c r="C14" i="63"/>
  <c r="B14" i="63"/>
  <c r="A14" i="63"/>
  <c r="M13" i="63"/>
  <c r="E13" i="63"/>
  <c r="C13" i="63"/>
  <c r="B13" i="63"/>
  <c r="A13" i="63"/>
  <c r="M12" i="63"/>
  <c r="E12" i="63"/>
  <c r="C12" i="63"/>
  <c r="B12" i="63"/>
  <c r="A12" i="63"/>
  <c r="M11" i="63"/>
  <c r="D11" i="63"/>
  <c r="B11" i="63"/>
  <c r="A11" i="63"/>
  <c r="M10" i="63"/>
  <c r="D10" i="63"/>
  <c r="M9" i="63"/>
  <c r="E9" i="63"/>
  <c r="C9" i="63"/>
  <c r="B9" i="63"/>
  <c r="A9" i="63"/>
  <c r="M8" i="63"/>
  <c r="E8" i="63"/>
  <c r="C8" i="63"/>
  <c r="B8" i="63"/>
  <c r="A8" i="63"/>
  <c r="M7" i="63"/>
  <c r="E7" i="63"/>
  <c r="C7" i="63"/>
  <c r="B7" i="63"/>
  <c r="A7" i="63"/>
  <c r="M6" i="63"/>
  <c r="E6" i="63"/>
  <c r="C6" i="63"/>
  <c r="B6" i="63"/>
  <c r="M5" i="63"/>
  <c r="B5" i="63"/>
  <c r="C4" i="63"/>
  <c r="B2" i="63"/>
  <c r="D43" i="63"/>
  <c r="M68" i="63"/>
  <c r="Q68" i="63"/>
  <c r="L4" i="63"/>
  <c r="M4" i="63"/>
  <c r="T5" i="63"/>
  <c r="V26" i="63"/>
  <c r="S16" i="63"/>
  <c r="S5" i="63"/>
  <c r="R8" i="63"/>
  <c r="T10" i="63"/>
  <c r="S13" i="63"/>
  <c r="R16" i="63"/>
  <c r="R20" i="63"/>
  <c r="R24" i="63"/>
  <c r="T9" i="63"/>
  <c r="S20" i="63"/>
  <c r="W6" i="63"/>
  <c r="V9" i="63"/>
  <c r="X11" i="63"/>
  <c r="W15" i="63"/>
  <c r="W19" i="63"/>
  <c r="W23" i="63"/>
  <c r="X8" i="63"/>
  <c r="W14" i="63"/>
  <c r="R5" i="63"/>
  <c r="T7" i="63"/>
  <c r="S10" i="63"/>
  <c r="R13" i="63"/>
  <c r="W16" i="63"/>
  <c r="W20" i="63"/>
  <c r="R25" i="63"/>
  <c r="T67" i="63"/>
  <c r="T65" i="63"/>
  <c r="T63" i="63"/>
  <c r="T61" i="63"/>
  <c r="T59" i="63"/>
  <c r="T57" i="63"/>
  <c r="T55" i="63"/>
  <c r="T53" i="63"/>
  <c r="T51" i="63"/>
  <c r="T49" i="63"/>
  <c r="T47" i="63"/>
  <c r="T45" i="63"/>
  <c r="T43" i="63"/>
  <c r="T41" i="63"/>
  <c r="T39" i="63"/>
  <c r="T37" i="63"/>
  <c r="T35" i="63"/>
  <c r="T33" i="63"/>
  <c r="T31" i="63"/>
  <c r="T29" i="63"/>
  <c r="T27" i="63"/>
  <c r="W67" i="63"/>
  <c r="W65" i="63"/>
  <c r="W63" i="63"/>
  <c r="W61" i="63"/>
  <c r="W59" i="63"/>
  <c r="W57" i="63"/>
  <c r="W55" i="63"/>
  <c r="W53" i="63"/>
  <c r="W51" i="63"/>
  <c r="W49" i="63"/>
  <c r="W47" i="63"/>
  <c r="W45" i="63"/>
  <c r="W43" i="63"/>
  <c r="W41" i="63"/>
  <c r="W39" i="63"/>
  <c r="W37" i="63"/>
  <c r="V68" i="63"/>
  <c r="V66" i="63"/>
  <c r="V64" i="63"/>
  <c r="V62" i="63"/>
  <c r="V60" i="63"/>
  <c r="V58" i="63"/>
  <c r="V56" i="63"/>
  <c r="V54" i="63"/>
  <c r="V52" i="63"/>
  <c r="V50" i="63"/>
  <c r="V48" i="63"/>
  <c r="V46" i="63"/>
  <c r="V44" i="63"/>
  <c r="V42" i="63"/>
  <c r="V40" i="63"/>
  <c r="V38" i="63"/>
  <c r="V36" i="63"/>
  <c r="U66" i="63"/>
  <c r="U62" i="63"/>
  <c r="U58" i="63"/>
  <c r="U54" i="63"/>
  <c r="U50" i="63"/>
  <c r="S27" i="63"/>
  <c r="W18" i="63"/>
  <c r="X5" i="63"/>
  <c r="W8" i="63"/>
  <c r="V11" i="63"/>
  <c r="X13" i="63"/>
  <c r="W17" i="63"/>
  <c r="W21" i="63"/>
  <c r="V25" i="63"/>
  <c r="R11" i="63"/>
  <c r="V24" i="63"/>
  <c r="S7" i="63"/>
  <c r="R10" i="63"/>
  <c r="T12" i="63"/>
  <c r="V16" i="63"/>
  <c r="V20" i="63"/>
  <c r="R26" i="63"/>
  <c r="V10" i="63"/>
  <c r="R17" i="63"/>
  <c r="W5" i="63"/>
  <c r="V8" i="63"/>
  <c r="X10" i="63"/>
  <c r="W13" i="63"/>
  <c r="V17" i="63"/>
  <c r="V21" i="63"/>
  <c r="X68" i="63"/>
  <c r="X66" i="63"/>
  <c r="X64" i="63"/>
  <c r="X62" i="63"/>
  <c r="X60" i="63"/>
  <c r="X58" i="63"/>
  <c r="X56" i="63"/>
  <c r="X54" i="63"/>
  <c r="X52" i="63"/>
  <c r="X50" i="63"/>
  <c r="X48" i="63"/>
  <c r="X46" i="63"/>
  <c r="X44" i="63"/>
  <c r="X42" i="63"/>
  <c r="X40" i="63"/>
  <c r="X38" i="63"/>
  <c r="X36" i="63"/>
  <c r="X34" i="63"/>
  <c r="X32" i="63"/>
  <c r="X30" i="63"/>
  <c r="X28" i="63"/>
  <c r="X26" i="63"/>
  <c r="S67" i="63"/>
  <c r="S65" i="63"/>
  <c r="S63" i="63"/>
  <c r="S61" i="63"/>
  <c r="S59" i="63"/>
  <c r="S57" i="63"/>
  <c r="S55" i="63"/>
  <c r="S53" i="63"/>
  <c r="S51" i="63"/>
  <c r="S49" i="63"/>
  <c r="S47" i="63"/>
  <c r="S45" i="63"/>
  <c r="S43" i="63"/>
  <c r="S41" i="63"/>
  <c r="S39" i="63"/>
  <c r="S37" i="63"/>
  <c r="R68" i="63"/>
  <c r="R66" i="63"/>
  <c r="R64" i="63"/>
  <c r="R62" i="63"/>
  <c r="R60" i="63"/>
  <c r="R58" i="63"/>
  <c r="R56" i="63"/>
  <c r="R54" i="63"/>
  <c r="R52" i="63"/>
  <c r="R50" i="63"/>
  <c r="R48" i="63"/>
  <c r="R46" i="63"/>
  <c r="R44" i="63"/>
  <c r="R42" i="63"/>
  <c r="R40" i="63"/>
  <c r="R38" i="63"/>
  <c r="R36" i="63"/>
  <c r="U65" i="63"/>
  <c r="U61" i="63"/>
  <c r="U57" i="63"/>
  <c r="U53" i="63"/>
  <c r="U49" i="63"/>
  <c r="W7" i="63"/>
  <c r="R21" i="63"/>
  <c r="T6" i="63"/>
  <c r="S9" i="63"/>
  <c r="R12" i="63"/>
  <c r="V14" i="63"/>
  <c r="V18" i="63"/>
  <c r="V22" i="63"/>
  <c r="V6" i="63"/>
  <c r="X12" i="63"/>
  <c r="V5" i="63"/>
  <c r="X7" i="63"/>
  <c r="W10" i="63"/>
  <c r="V13" i="63"/>
  <c r="S17" i="63"/>
  <c r="S21" i="63"/>
  <c r="X14" i="63"/>
  <c r="S12" i="63"/>
  <c r="V19" i="63"/>
  <c r="S6" i="63"/>
  <c r="R9" i="63"/>
  <c r="T11" i="63"/>
  <c r="S14" i="63"/>
  <c r="S18" i="63"/>
  <c r="S22" i="63"/>
  <c r="T68" i="63"/>
  <c r="T66" i="63"/>
  <c r="T64" i="63"/>
  <c r="T62" i="63"/>
  <c r="T60" i="63"/>
  <c r="T58" i="63"/>
  <c r="T56" i="63"/>
  <c r="T54" i="63"/>
  <c r="T52" i="63"/>
  <c r="T50" i="63"/>
  <c r="T48" i="63"/>
  <c r="T46" i="63"/>
  <c r="T44" i="63"/>
  <c r="T42" i="63"/>
  <c r="T40" i="63"/>
  <c r="T38" i="63"/>
  <c r="T36" i="63"/>
  <c r="T34" i="63"/>
  <c r="T32" i="63"/>
  <c r="T30" i="63"/>
  <c r="T28" i="63"/>
  <c r="W68" i="63"/>
  <c r="W66" i="63"/>
  <c r="W64" i="63"/>
  <c r="W62" i="63"/>
  <c r="W60" i="63"/>
  <c r="W58" i="63"/>
  <c r="W56" i="63"/>
  <c r="W54" i="63"/>
  <c r="W52" i="63"/>
  <c r="W50" i="63"/>
  <c r="W48" i="63"/>
  <c r="W46" i="63"/>
  <c r="W44" i="63"/>
  <c r="W42" i="63"/>
  <c r="W40" i="63"/>
  <c r="W38" i="63"/>
  <c r="W36" i="63"/>
  <c r="V67" i="63"/>
  <c r="V65" i="63"/>
  <c r="V63" i="63"/>
  <c r="V61" i="63"/>
  <c r="V59" i="63"/>
  <c r="V57" i="63"/>
  <c r="V55" i="63"/>
  <c r="V53" i="63"/>
  <c r="V51" i="63"/>
  <c r="V49" i="63"/>
  <c r="V47" i="63"/>
  <c r="V45" i="63"/>
  <c r="V43" i="63"/>
  <c r="V41" i="63"/>
  <c r="V39" i="63"/>
  <c r="V37" i="63"/>
  <c r="U68" i="63"/>
  <c r="U64" i="63"/>
  <c r="U60" i="63"/>
  <c r="U56" i="63"/>
  <c r="U52" i="63"/>
  <c r="U48" i="63"/>
  <c r="W11" i="63"/>
  <c r="V23" i="63"/>
  <c r="V7" i="63"/>
  <c r="X9" i="63"/>
  <c r="W12" i="63"/>
  <c r="S15" i="63"/>
  <c r="S19" i="63"/>
  <c r="S23" i="63"/>
  <c r="S8" i="63"/>
  <c r="V15" i="63"/>
  <c r="R6" i="63"/>
  <c r="T8" i="63"/>
  <c r="S11" i="63"/>
  <c r="R14" i="63"/>
  <c r="R18" i="63"/>
  <c r="R22" i="63"/>
  <c r="R7" i="63"/>
  <c r="T13" i="63"/>
  <c r="W22" i="63"/>
  <c r="X6" i="63"/>
  <c r="W9" i="63"/>
  <c r="V12" i="63"/>
  <c r="R15" i="63"/>
  <c r="R19" i="63"/>
  <c r="R23" i="63"/>
  <c r="X67" i="63"/>
  <c r="X65" i="63"/>
  <c r="X63" i="63"/>
  <c r="X61" i="63"/>
  <c r="X59" i="63"/>
  <c r="X57" i="63"/>
  <c r="X55" i="63"/>
  <c r="X53" i="63"/>
  <c r="X51" i="63"/>
  <c r="X49" i="63"/>
  <c r="X47" i="63"/>
  <c r="X45" i="63"/>
  <c r="X43" i="63"/>
  <c r="X41" i="63"/>
  <c r="X39" i="63"/>
  <c r="X37" i="63"/>
  <c r="X35" i="63"/>
  <c r="X33" i="63"/>
  <c r="X31" i="63"/>
  <c r="X29" i="63"/>
  <c r="X27" i="63"/>
  <c r="S68" i="63"/>
  <c r="S66" i="63"/>
  <c r="S64" i="63"/>
  <c r="S62" i="63"/>
  <c r="S60" i="63"/>
  <c r="S58" i="63"/>
  <c r="S56" i="63"/>
  <c r="S54" i="63"/>
  <c r="S52" i="63"/>
  <c r="S50" i="63"/>
  <c r="S48" i="63"/>
  <c r="S46" i="63"/>
  <c r="S44" i="63"/>
  <c r="S42" i="63"/>
  <c r="S40" i="63"/>
  <c r="S38" i="63"/>
  <c r="S36" i="63"/>
  <c r="R67" i="63"/>
  <c r="R65" i="63"/>
  <c r="R63" i="63"/>
  <c r="R61" i="63"/>
  <c r="R59" i="63"/>
  <c r="R57" i="63"/>
  <c r="R55" i="63"/>
  <c r="R53" i="63"/>
  <c r="R51" i="63"/>
  <c r="R49" i="63"/>
  <c r="R47" i="63"/>
  <c r="R45" i="63"/>
  <c r="R43" i="63"/>
  <c r="R41" i="63"/>
  <c r="R39" i="63"/>
  <c r="R37" i="63"/>
  <c r="U67" i="63"/>
  <c r="U63" i="63"/>
  <c r="U59" i="63"/>
  <c r="U55" i="63"/>
  <c r="U51" i="63"/>
  <c r="U47" i="63"/>
  <c r="U46" i="63"/>
  <c r="U42" i="63"/>
  <c r="U38" i="63"/>
  <c r="U34" i="63"/>
  <c r="U30" i="63"/>
  <c r="U8" i="63"/>
  <c r="U12" i="63"/>
  <c r="U16" i="63"/>
  <c r="U20" i="63"/>
  <c r="U24" i="63"/>
  <c r="W27" i="63"/>
  <c r="V30" i="63"/>
  <c r="V34" i="63"/>
  <c r="W30" i="63"/>
  <c r="W34" i="63"/>
  <c r="S25" i="63"/>
  <c r="U27" i="63"/>
  <c r="R30" i="63"/>
  <c r="R34" i="63"/>
  <c r="X15" i="63"/>
  <c r="X17" i="63"/>
  <c r="X19" i="63"/>
  <c r="X21" i="63"/>
  <c r="X23" i="63"/>
  <c r="X25" i="63"/>
  <c r="V29" i="63"/>
  <c r="V33" i="63"/>
  <c r="U45" i="63"/>
  <c r="U41" i="63"/>
  <c r="U37" i="63"/>
  <c r="U33" i="63"/>
  <c r="U5" i="63"/>
  <c r="U9" i="63"/>
  <c r="U13" i="63"/>
  <c r="U17" i="63"/>
  <c r="U21" i="63"/>
  <c r="U25" i="63"/>
  <c r="U28" i="63"/>
  <c r="S31" i="63"/>
  <c r="S35" i="63"/>
  <c r="V31" i="63"/>
  <c r="V35" i="63"/>
  <c r="W25" i="63"/>
  <c r="R28" i="63"/>
  <c r="W31" i="63"/>
  <c r="W35" i="63"/>
  <c r="T16" i="63"/>
  <c r="T18" i="63"/>
  <c r="T20" i="63"/>
  <c r="T22" i="63"/>
  <c r="T24" i="63"/>
  <c r="T26" i="63"/>
  <c r="S30" i="63"/>
  <c r="S34" i="63"/>
  <c r="U44" i="63"/>
  <c r="U40" i="63"/>
  <c r="U36" i="63"/>
  <c r="U32" i="63"/>
  <c r="U6" i="63"/>
  <c r="U10" i="63"/>
  <c r="U14" i="63"/>
  <c r="U18" i="63"/>
  <c r="U22" i="63"/>
  <c r="U26" i="63"/>
  <c r="R29" i="63"/>
  <c r="R32" i="63"/>
  <c r="V28" i="63"/>
  <c r="S32" i="63"/>
  <c r="S24" i="63"/>
  <c r="S26" i="63"/>
  <c r="W28" i="63"/>
  <c r="V32" i="63"/>
  <c r="T14" i="63"/>
  <c r="X16" i="63"/>
  <c r="X18" i="63"/>
  <c r="X20" i="63"/>
  <c r="X22" i="63"/>
  <c r="X24" i="63"/>
  <c r="V27" i="63"/>
  <c r="R31" i="63"/>
  <c r="R35" i="63"/>
  <c r="U43" i="63"/>
  <c r="U39" i="63"/>
  <c r="U35" i="63"/>
  <c r="U31" i="63"/>
  <c r="U7" i="63"/>
  <c r="U11" i="63"/>
  <c r="U15" i="63"/>
  <c r="U19" i="63"/>
  <c r="U23" i="63"/>
  <c r="R27" i="63"/>
  <c r="W29" i="63"/>
  <c r="W33" i="63"/>
  <c r="S29" i="63"/>
  <c r="R33" i="63"/>
  <c r="W24" i="63"/>
  <c r="W26" i="63"/>
  <c r="U29" i="63"/>
  <c r="S33" i="63"/>
  <c r="T15" i="63"/>
  <c r="T17" i="63"/>
  <c r="T19" i="63"/>
  <c r="T21" i="63"/>
  <c r="T23" i="63"/>
  <c r="T25" i="63"/>
  <c r="S28" i="63"/>
  <c r="W32" i="63"/>
  <c r="W4" i="63"/>
  <c r="X4" i="63"/>
  <c r="D6" i="63"/>
  <c r="D9" i="63"/>
  <c r="D8" i="63"/>
  <c r="D7" i="63"/>
  <c r="D54" i="63"/>
  <c r="D53" i="63"/>
  <c r="D44" i="63"/>
  <c r="D61" i="63"/>
  <c r="D66" i="63"/>
  <c r="D12" i="63"/>
  <c r="D55" i="63"/>
  <c r="D18" i="63"/>
  <c r="D15" i="63"/>
  <c r="D17" i="63"/>
  <c r="D13" i="63"/>
  <c r="D20" i="63"/>
  <c r="D42" i="63"/>
  <c r="C5" i="63"/>
  <c r="I4" i="63"/>
  <c r="K4" i="63"/>
  <c r="D14" i="63"/>
  <c r="D46" i="63"/>
  <c r="D28" i="63"/>
  <c r="D27" i="63"/>
  <c r="D26" i="63"/>
  <c r="D25" i="63"/>
  <c r="D24" i="63"/>
  <c r="D19" i="63"/>
  <c r="E62" i="21"/>
  <c r="F63" i="21"/>
  <c r="E67" i="21"/>
  <c r="F68" i="21"/>
  <c r="E72" i="21"/>
  <c r="E77" i="21"/>
  <c r="F78" i="21"/>
  <c r="F73" i="21"/>
  <c r="Q68" i="60"/>
  <c r="Q67" i="60"/>
  <c r="Q66" i="60"/>
  <c r="Q65" i="60"/>
  <c r="Q64" i="60"/>
  <c r="Q63" i="60"/>
  <c r="Q62" i="60"/>
  <c r="Q58" i="60"/>
  <c r="Q57" i="60"/>
  <c r="Q56" i="60"/>
  <c r="Q55" i="60"/>
  <c r="Q54" i="60"/>
  <c r="Q52" i="60"/>
  <c r="Q51" i="60"/>
  <c r="Q50" i="60"/>
  <c r="Q49" i="60"/>
  <c r="Q48" i="60"/>
  <c r="Q47" i="60"/>
  <c r="Q46" i="60"/>
  <c r="Q45" i="60"/>
  <c r="Q44" i="60"/>
  <c r="Q43" i="60"/>
  <c r="Q42" i="60"/>
  <c r="Q41" i="60"/>
  <c r="Q40" i="60"/>
  <c r="Q39" i="60"/>
  <c r="Q38" i="60"/>
  <c r="Q37" i="60"/>
  <c r="Q36" i="60"/>
  <c r="Q35" i="60"/>
  <c r="Q34" i="60"/>
  <c r="Q33" i="60"/>
  <c r="Q32" i="60"/>
  <c r="Q31" i="60"/>
  <c r="Q30" i="60"/>
  <c r="Q29" i="60"/>
  <c r="Q28" i="60"/>
  <c r="Q27" i="60"/>
  <c r="Q26" i="60"/>
  <c r="Q25" i="60"/>
  <c r="Q24" i="60"/>
  <c r="Q23" i="60"/>
  <c r="Q22" i="60"/>
  <c r="Q21" i="60"/>
  <c r="Q20" i="60"/>
  <c r="Q19" i="60"/>
  <c r="Q18" i="60"/>
  <c r="Q17" i="60"/>
  <c r="Q16" i="60"/>
  <c r="Q15" i="60"/>
  <c r="Q14" i="60"/>
  <c r="Q13" i="60"/>
  <c r="Q12" i="60"/>
  <c r="Q11" i="60"/>
  <c r="Q10" i="60"/>
  <c r="Q9" i="60"/>
  <c r="Q8" i="60"/>
  <c r="Q7" i="60"/>
  <c r="Q6" i="60"/>
  <c r="Q5" i="60"/>
  <c r="A6" i="60"/>
  <c r="A5" i="60"/>
  <c r="M68" i="60"/>
  <c r="E68" i="60"/>
  <c r="D68" i="60"/>
  <c r="C68" i="60"/>
  <c r="B68" i="60"/>
  <c r="A68" i="60"/>
  <c r="M67" i="60"/>
  <c r="E67" i="60"/>
  <c r="D67" i="60"/>
  <c r="C67" i="60"/>
  <c r="B67" i="60"/>
  <c r="A67" i="60"/>
  <c r="M66" i="60"/>
  <c r="E66" i="60"/>
  <c r="C66" i="60"/>
  <c r="B66" i="60"/>
  <c r="A66" i="60"/>
  <c r="M65" i="60"/>
  <c r="E65" i="60"/>
  <c r="D65" i="60"/>
  <c r="C65" i="60"/>
  <c r="B65" i="60"/>
  <c r="A65" i="60"/>
  <c r="M64" i="60"/>
  <c r="E64" i="60"/>
  <c r="D64" i="60"/>
  <c r="C64" i="60"/>
  <c r="B64" i="60"/>
  <c r="A64" i="60"/>
  <c r="M63" i="60"/>
  <c r="E63" i="60"/>
  <c r="D63" i="60"/>
  <c r="A63" i="60"/>
  <c r="M62" i="60"/>
  <c r="E62" i="60"/>
  <c r="D62" i="60"/>
  <c r="C62" i="60"/>
  <c r="B61" i="60"/>
  <c r="A61" i="60"/>
  <c r="B60" i="60"/>
  <c r="A60" i="60"/>
  <c r="B59" i="60"/>
  <c r="A59" i="60"/>
  <c r="M58" i="60"/>
  <c r="E58" i="60"/>
  <c r="D58" i="60"/>
  <c r="C58" i="60"/>
  <c r="B58" i="60"/>
  <c r="A58" i="60"/>
  <c r="M57" i="60"/>
  <c r="E57" i="60"/>
  <c r="D57" i="60"/>
  <c r="A57" i="60"/>
  <c r="M56" i="60"/>
  <c r="E56" i="60"/>
  <c r="D56" i="60"/>
  <c r="C56" i="60"/>
  <c r="M55" i="60"/>
  <c r="E55" i="60"/>
  <c r="C55" i="60"/>
  <c r="B55" i="60"/>
  <c r="A55" i="60"/>
  <c r="E54" i="60"/>
  <c r="C54" i="60"/>
  <c r="B54" i="60"/>
  <c r="A54" i="60"/>
  <c r="B53" i="60"/>
  <c r="A53" i="60"/>
  <c r="M52" i="60"/>
  <c r="E52" i="60"/>
  <c r="D52" i="60"/>
  <c r="B52" i="60"/>
  <c r="A52" i="60"/>
  <c r="M51" i="60"/>
  <c r="E51" i="60"/>
  <c r="D51" i="60"/>
  <c r="M50" i="60"/>
  <c r="E50" i="60"/>
  <c r="D50" i="60"/>
  <c r="M49" i="60"/>
  <c r="E49" i="60"/>
  <c r="D49" i="60"/>
  <c r="C49" i="60"/>
  <c r="B49" i="60"/>
  <c r="A49" i="60"/>
  <c r="M48" i="60"/>
  <c r="E48" i="60"/>
  <c r="D48" i="60"/>
  <c r="C48" i="60"/>
  <c r="B48" i="60"/>
  <c r="A48" i="60"/>
  <c r="M47" i="60"/>
  <c r="E47" i="60"/>
  <c r="D47" i="60"/>
  <c r="C47" i="60"/>
  <c r="B47" i="60"/>
  <c r="A47" i="60"/>
  <c r="M46" i="60"/>
  <c r="E46" i="60"/>
  <c r="C46" i="60"/>
  <c r="B46" i="60"/>
  <c r="A46" i="60"/>
  <c r="M45" i="60"/>
  <c r="E45" i="60"/>
  <c r="D45" i="60"/>
  <c r="C45" i="60"/>
  <c r="B45" i="60"/>
  <c r="A45" i="60"/>
  <c r="M44" i="60"/>
  <c r="E44" i="60"/>
  <c r="C44" i="60"/>
  <c r="B44" i="60"/>
  <c r="A44" i="60"/>
  <c r="M43" i="60"/>
  <c r="E43" i="60"/>
  <c r="C43" i="60"/>
  <c r="B43" i="60"/>
  <c r="A43" i="60"/>
  <c r="M42" i="60"/>
  <c r="E42" i="60"/>
  <c r="C42" i="60"/>
  <c r="B42" i="60"/>
  <c r="A42" i="60"/>
  <c r="M41" i="60"/>
  <c r="E41" i="60"/>
  <c r="D41" i="60"/>
  <c r="B41" i="60"/>
  <c r="A41" i="60"/>
  <c r="M40" i="60"/>
  <c r="E40" i="60"/>
  <c r="D40" i="60"/>
  <c r="M39" i="60"/>
  <c r="E39" i="60"/>
  <c r="D39" i="60"/>
  <c r="C39" i="60"/>
  <c r="B39" i="60"/>
  <c r="A39" i="60"/>
  <c r="M38" i="60"/>
  <c r="E38" i="60"/>
  <c r="D38" i="60"/>
  <c r="C38" i="60"/>
  <c r="B38" i="60"/>
  <c r="A38" i="60"/>
  <c r="M37" i="60"/>
  <c r="E37" i="60"/>
  <c r="D37" i="60"/>
  <c r="C37" i="60"/>
  <c r="B37" i="60"/>
  <c r="A37" i="60"/>
  <c r="M36" i="60"/>
  <c r="E36" i="60"/>
  <c r="D36" i="60"/>
  <c r="C36" i="60"/>
  <c r="B36" i="60"/>
  <c r="A36" i="60"/>
  <c r="M35" i="60"/>
  <c r="E35" i="60"/>
  <c r="D35" i="60"/>
  <c r="C35" i="60"/>
  <c r="B35" i="60"/>
  <c r="A35" i="60"/>
  <c r="M34" i="60"/>
  <c r="E34" i="60"/>
  <c r="D34" i="60"/>
  <c r="C34" i="60"/>
  <c r="B34" i="60"/>
  <c r="A34" i="60"/>
  <c r="M33" i="60"/>
  <c r="E33" i="60"/>
  <c r="D33" i="60"/>
  <c r="C33" i="60"/>
  <c r="B33" i="60"/>
  <c r="A33" i="60"/>
  <c r="M32" i="60"/>
  <c r="E32" i="60"/>
  <c r="D32" i="60"/>
  <c r="M31" i="60"/>
  <c r="E31" i="60"/>
  <c r="D31" i="60"/>
  <c r="C31" i="60"/>
  <c r="B31" i="60"/>
  <c r="A31" i="60"/>
  <c r="M30" i="60"/>
  <c r="E30" i="60"/>
  <c r="D30" i="60"/>
  <c r="C30" i="60"/>
  <c r="B30" i="60"/>
  <c r="A30" i="60"/>
  <c r="M29" i="60"/>
  <c r="E29" i="60"/>
  <c r="D29" i="60"/>
  <c r="C29" i="60"/>
  <c r="B29" i="60"/>
  <c r="A29" i="60"/>
  <c r="M28" i="60"/>
  <c r="E28" i="60"/>
  <c r="C28" i="60"/>
  <c r="B28" i="60"/>
  <c r="A28" i="60"/>
  <c r="M27" i="60"/>
  <c r="E27" i="60"/>
  <c r="C27" i="60"/>
  <c r="B27" i="60"/>
  <c r="A27" i="60"/>
  <c r="M26" i="60"/>
  <c r="E26" i="60"/>
  <c r="C26" i="60"/>
  <c r="B26" i="60"/>
  <c r="A26" i="60"/>
  <c r="M25" i="60"/>
  <c r="E25" i="60"/>
  <c r="C25" i="60"/>
  <c r="B25" i="60"/>
  <c r="A25" i="60"/>
  <c r="M24" i="60"/>
  <c r="E24" i="60"/>
  <c r="C24" i="60"/>
  <c r="B24" i="60"/>
  <c r="A24" i="60"/>
  <c r="M23" i="60"/>
  <c r="M22" i="60"/>
  <c r="E22" i="60"/>
  <c r="D22" i="60"/>
  <c r="C22" i="60"/>
  <c r="B22" i="60"/>
  <c r="A22" i="60"/>
  <c r="M21" i="60"/>
  <c r="E21" i="60"/>
  <c r="D21" i="60"/>
  <c r="C21" i="60"/>
  <c r="B21" i="60"/>
  <c r="A21" i="60"/>
  <c r="M20" i="60"/>
  <c r="E20" i="60"/>
  <c r="C20" i="60"/>
  <c r="B20" i="60"/>
  <c r="A20" i="60"/>
  <c r="M19" i="60"/>
  <c r="E19" i="60"/>
  <c r="C19" i="60"/>
  <c r="B19" i="60"/>
  <c r="A19" i="60"/>
  <c r="M18" i="60"/>
  <c r="E18" i="60"/>
  <c r="C18" i="60"/>
  <c r="B18" i="60"/>
  <c r="A18" i="60"/>
  <c r="M17" i="60"/>
  <c r="E17" i="60"/>
  <c r="C17" i="60"/>
  <c r="B17" i="60"/>
  <c r="A17" i="60"/>
  <c r="M16" i="60"/>
  <c r="D16" i="60"/>
  <c r="M15" i="60"/>
  <c r="E15" i="60"/>
  <c r="C15" i="60"/>
  <c r="B15" i="60"/>
  <c r="A15" i="60"/>
  <c r="M14" i="60"/>
  <c r="E14" i="60"/>
  <c r="C14" i="60"/>
  <c r="B14" i="60"/>
  <c r="A14" i="60"/>
  <c r="M13" i="60"/>
  <c r="E13" i="60"/>
  <c r="C13" i="60"/>
  <c r="B13" i="60"/>
  <c r="A13" i="60"/>
  <c r="M12" i="60"/>
  <c r="E12" i="60"/>
  <c r="C12" i="60"/>
  <c r="B12" i="60"/>
  <c r="A12" i="60"/>
  <c r="M11" i="60"/>
  <c r="D11" i="60"/>
  <c r="B11" i="60"/>
  <c r="A11" i="60"/>
  <c r="M10" i="60"/>
  <c r="D10" i="60"/>
  <c r="M9" i="60"/>
  <c r="E9" i="60"/>
  <c r="C9" i="60"/>
  <c r="B9" i="60"/>
  <c r="A9" i="60"/>
  <c r="M8" i="60"/>
  <c r="E8" i="60"/>
  <c r="C8" i="60"/>
  <c r="B8" i="60"/>
  <c r="A8" i="60"/>
  <c r="M7" i="60"/>
  <c r="E7" i="60"/>
  <c r="C7" i="60"/>
  <c r="B7" i="60"/>
  <c r="A7" i="60"/>
  <c r="M6" i="60"/>
  <c r="E6" i="60"/>
  <c r="C6" i="60"/>
  <c r="B6" i="60"/>
  <c r="M5" i="60"/>
  <c r="B5" i="60"/>
  <c r="B2" i="60"/>
  <c r="D43" i="60"/>
  <c r="Q53" i="60"/>
  <c r="C4" i="60"/>
  <c r="M54" i="60"/>
  <c r="M61" i="60"/>
  <c r="Q61" i="60"/>
  <c r="M60" i="60"/>
  <c r="Q60" i="60"/>
  <c r="M59" i="60"/>
  <c r="Q59" i="60"/>
  <c r="V42" i="60"/>
  <c r="X7" i="60"/>
  <c r="X9" i="60"/>
  <c r="X15" i="60"/>
  <c r="X17" i="60"/>
  <c r="X23" i="60"/>
  <c r="X25" i="60"/>
  <c r="R41" i="60"/>
  <c r="T67" i="60"/>
  <c r="T63" i="60"/>
  <c r="T61" i="60"/>
  <c r="T59" i="60"/>
  <c r="T55" i="60"/>
  <c r="T53" i="60"/>
  <c r="T51" i="60"/>
  <c r="T47" i="60"/>
  <c r="T45" i="60"/>
  <c r="T43" i="60"/>
  <c r="T41" i="60"/>
  <c r="T39" i="60"/>
  <c r="T37" i="60"/>
  <c r="T35" i="60"/>
  <c r="T33" i="60"/>
  <c r="W68" i="60"/>
  <c r="W66" i="60"/>
  <c r="W64" i="60"/>
  <c r="W62" i="60"/>
  <c r="W60" i="60"/>
  <c r="W58" i="60"/>
  <c r="W56" i="60"/>
  <c r="W54" i="60"/>
  <c r="W52" i="60"/>
  <c r="W50" i="60"/>
  <c r="W48" i="60"/>
  <c r="W46" i="60"/>
  <c r="W44" i="60"/>
  <c r="W42" i="60"/>
  <c r="W40" i="60"/>
  <c r="W38" i="60"/>
  <c r="W36" i="60"/>
  <c r="W34" i="60"/>
  <c r="W32" i="60"/>
  <c r="W30" i="60"/>
  <c r="W28" i="60"/>
  <c r="W26" i="60"/>
  <c r="R67" i="60"/>
  <c r="R65" i="60"/>
  <c r="R63" i="60"/>
  <c r="R61" i="60"/>
  <c r="R59" i="60"/>
  <c r="R57" i="60"/>
  <c r="R55" i="60"/>
  <c r="R53" i="60"/>
  <c r="R51" i="60"/>
  <c r="R49" i="60"/>
  <c r="R47" i="60"/>
  <c r="R45" i="60"/>
  <c r="U68" i="60"/>
  <c r="U64" i="60"/>
  <c r="U60" i="60"/>
  <c r="U56" i="60"/>
  <c r="U52" i="60"/>
  <c r="U48" i="60"/>
  <c r="U44" i="60"/>
  <c r="U40" i="60"/>
  <c r="U36" i="60"/>
  <c r="U7" i="60"/>
  <c r="U11" i="60"/>
  <c r="U15" i="60"/>
  <c r="U19" i="60"/>
  <c r="U23" i="60"/>
  <c r="R27" i="60"/>
  <c r="X29" i="60"/>
  <c r="V37" i="60"/>
  <c r="V5" i="60"/>
  <c r="T6" i="60"/>
  <c r="T8" i="60"/>
  <c r="T10" i="60"/>
  <c r="T12" i="60"/>
  <c r="T14" i="60"/>
  <c r="T16" i="60"/>
  <c r="T18" i="60"/>
  <c r="T20" i="60"/>
  <c r="T22" i="60"/>
  <c r="T24" i="60"/>
  <c r="T26" i="60"/>
  <c r="T30" i="60"/>
  <c r="V34" i="60"/>
  <c r="X68" i="60"/>
  <c r="X66" i="60"/>
  <c r="X64" i="60"/>
  <c r="X62" i="60"/>
  <c r="X60" i="60"/>
  <c r="X58" i="60"/>
  <c r="X56" i="60"/>
  <c r="X54" i="60"/>
  <c r="X52" i="60"/>
  <c r="X50" i="60"/>
  <c r="X48" i="60"/>
  <c r="X46" i="60"/>
  <c r="X44" i="60"/>
  <c r="X42" i="60"/>
  <c r="X40" i="60"/>
  <c r="X38" i="60"/>
  <c r="X36" i="60"/>
  <c r="X34" i="60"/>
  <c r="X32" i="60"/>
  <c r="S68" i="60"/>
  <c r="S66" i="60"/>
  <c r="S64" i="60"/>
  <c r="S62" i="60"/>
  <c r="S60" i="60"/>
  <c r="S58" i="60"/>
  <c r="S56" i="60"/>
  <c r="S54" i="60"/>
  <c r="S52" i="60"/>
  <c r="S50" i="60"/>
  <c r="S48" i="60"/>
  <c r="S46" i="60"/>
  <c r="S44" i="60"/>
  <c r="S42" i="60"/>
  <c r="S40" i="60"/>
  <c r="S38" i="60"/>
  <c r="S36" i="60"/>
  <c r="S34" i="60"/>
  <c r="S32" i="60"/>
  <c r="S30" i="60"/>
  <c r="S28" i="60"/>
  <c r="V68" i="60"/>
  <c r="V66" i="60"/>
  <c r="V64" i="60"/>
  <c r="V62" i="60"/>
  <c r="V60" i="60"/>
  <c r="V58" i="60"/>
  <c r="V56" i="60"/>
  <c r="V54" i="60"/>
  <c r="V52" i="60"/>
  <c r="V50" i="60"/>
  <c r="V48" i="60"/>
  <c r="V46" i="60"/>
  <c r="V44" i="60"/>
  <c r="U67" i="60"/>
  <c r="U63" i="60"/>
  <c r="U59" i="60"/>
  <c r="U55" i="60"/>
  <c r="U51" i="60"/>
  <c r="U47" i="60"/>
  <c r="U43" i="60"/>
  <c r="U39" i="60"/>
  <c r="U35" i="60"/>
  <c r="U8" i="60"/>
  <c r="U12" i="60"/>
  <c r="U16" i="60"/>
  <c r="U20" i="60"/>
  <c r="U24" i="60"/>
  <c r="X27" i="60"/>
  <c r="U30" i="60"/>
  <c r="R40" i="60"/>
  <c r="T5" i="60"/>
  <c r="T7" i="60"/>
  <c r="T9" i="60"/>
  <c r="T11" i="60"/>
  <c r="T13" i="60"/>
  <c r="T15" i="60"/>
  <c r="T17" i="60"/>
  <c r="T19" i="60"/>
  <c r="T21" i="60"/>
  <c r="T23" i="60"/>
  <c r="T25" i="60"/>
  <c r="T28" i="60"/>
  <c r="V32" i="60"/>
  <c r="V38" i="60"/>
  <c r="X67" i="60"/>
  <c r="X65" i="60"/>
  <c r="X63" i="60"/>
  <c r="X61" i="60"/>
  <c r="X59" i="60"/>
  <c r="X57" i="60"/>
  <c r="X55" i="60"/>
  <c r="X53" i="60"/>
  <c r="X51" i="60"/>
  <c r="X49" i="60"/>
  <c r="X47" i="60"/>
  <c r="X45" i="60"/>
  <c r="X43" i="60"/>
  <c r="X41" i="60"/>
  <c r="X39" i="60"/>
  <c r="X37" i="60"/>
  <c r="X35" i="60"/>
  <c r="X33" i="60"/>
  <c r="X31" i="60"/>
  <c r="S67" i="60"/>
  <c r="S65" i="60"/>
  <c r="S63" i="60"/>
  <c r="S61" i="60"/>
  <c r="S59" i="60"/>
  <c r="S57" i="60"/>
  <c r="S55" i="60"/>
  <c r="S53" i="60"/>
  <c r="S51" i="60"/>
  <c r="S49" i="60"/>
  <c r="S47" i="60"/>
  <c r="S45" i="60"/>
  <c r="S43" i="60"/>
  <c r="S41" i="60"/>
  <c r="S39" i="60"/>
  <c r="S37" i="60"/>
  <c r="S35" i="60"/>
  <c r="S33" i="60"/>
  <c r="S31" i="60"/>
  <c r="S29" i="60"/>
  <c r="S27" i="60"/>
  <c r="V67" i="60"/>
  <c r="V65" i="60"/>
  <c r="V63" i="60"/>
  <c r="V61" i="60"/>
  <c r="V59" i="60"/>
  <c r="V57" i="60"/>
  <c r="V55" i="60"/>
  <c r="V53" i="60"/>
  <c r="V51" i="60"/>
  <c r="V49" i="60"/>
  <c r="V47" i="60"/>
  <c r="V45" i="60"/>
  <c r="V43" i="60"/>
  <c r="U65" i="60"/>
  <c r="U61" i="60"/>
  <c r="U57" i="60"/>
  <c r="U53" i="60"/>
  <c r="U49" i="60"/>
  <c r="U45" i="60"/>
  <c r="U41" i="60"/>
  <c r="U37" i="60"/>
  <c r="U6" i="60"/>
  <c r="U10" i="60"/>
  <c r="U14" i="60"/>
  <c r="U18" i="60"/>
  <c r="U22" i="60"/>
  <c r="U26" i="60"/>
  <c r="R29" i="60"/>
  <c r="R36" i="60"/>
  <c r="R5" i="60"/>
  <c r="R7" i="60"/>
  <c r="X10" i="60"/>
  <c r="X18" i="60"/>
  <c r="V27" i="60"/>
  <c r="T66" i="60"/>
  <c r="T58" i="60"/>
  <c r="T50" i="60"/>
  <c r="T42" i="60"/>
  <c r="T34" i="60"/>
  <c r="W63" i="60"/>
  <c r="W55" i="60"/>
  <c r="W47" i="60"/>
  <c r="W39" i="60"/>
  <c r="W31" i="60"/>
  <c r="R66" i="60"/>
  <c r="R58" i="60"/>
  <c r="R50" i="60"/>
  <c r="U66" i="60"/>
  <c r="U50" i="60"/>
  <c r="U5" i="60"/>
  <c r="U21" i="60"/>
  <c r="V41" i="60"/>
  <c r="R8" i="60"/>
  <c r="R10" i="60"/>
  <c r="R12" i="60"/>
  <c r="R14" i="60"/>
  <c r="R16" i="60"/>
  <c r="R18" i="60"/>
  <c r="R20" i="60"/>
  <c r="R22" i="60"/>
  <c r="R24" i="60"/>
  <c r="R26" i="60"/>
  <c r="T29" i="60"/>
  <c r="R33" i="60"/>
  <c r="R39" i="60"/>
  <c r="W5" i="60"/>
  <c r="W7" i="60"/>
  <c r="W9" i="60"/>
  <c r="W11" i="60"/>
  <c r="W13" i="60"/>
  <c r="W15" i="60"/>
  <c r="W17" i="60"/>
  <c r="W19" i="60"/>
  <c r="W21" i="60"/>
  <c r="W23" i="60"/>
  <c r="W25" i="60"/>
  <c r="R28" i="60"/>
  <c r="X30" i="60"/>
  <c r="U34" i="60"/>
  <c r="R42" i="60"/>
  <c r="V7" i="60"/>
  <c r="X12" i="60"/>
  <c r="X20" i="60"/>
  <c r="V31" i="60"/>
  <c r="T64" i="60"/>
  <c r="T56" i="60"/>
  <c r="T48" i="60"/>
  <c r="T40" i="60"/>
  <c r="T32" i="60"/>
  <c r="W61" i="60"/>
  <c r="W53" i="60"/>
  <c r="W45" i="60"/>
  <c r="W37" i="60"/>
  <c r="W29" i="60"/>
  <c r="R64" i="60"/>
  <c r="R56" i="60"/>
  <c r="R48" i="60"/>
  <c r="U62" i="60"/>
  <c r="U46" i="60"/>
  <c r="U9" i="60"/>
  <c r="U25" i="60"/>
  <c r="R6" i="60"/>
  <c r="V8" i="60"/>
  <c r="V10" i="60"/>
  <c r="V12" i="60"/>
  <c r="V14" i="60"/>
  <c r="V16" i="60"/>
  <c r="V18" i="60"/>
  <c r="V20" i="60"/>
  <c r="V22" i="60"/>
  <c r="V24" i="60"/>
  <c r="V26" i="60"/>
  <c r="V30" i="60"/>
  <c r="R34" i="60"/>
  <c r="V40" i="60"/>
  <c r="S6" i="60"/>
  <c r="S8" i="60"/>
  <c r="S10" i="60"/>
  <c r="S12" i="60"/>
  <c r="S14" i="60"/>
  <c r="S16" i="60"/>
  <c r="S18" i="60"/>
  <c r="S20" i="60"/>
  <c r="S22" i="60"/>
  <c r="S24" i="60"/>
  <c r="S26" i="60"/>
  <c r="X28" i="60"/>
  <c r="U31" i="60"/>
  <c r="V35" i="60"/>
  <c r="X24" i="60"/>
  <c r="W57" i="60"/>
  <c r="W41" i="60"/>
  <c r="R68" i="60"/>
  <c r="R52" i="60"/>
  <c r="U54" i="60"/>
  <c r="U17" i="60"/>
  <c r="V9" i="60"/>
  <c r="V13" i="60"/>
  <c r="V17" i="60"/>
  <c r="V21" i="60"/>
  <c r="V25" i="60"/>
  <c r="R32" i="60"/>
  <c r="S5" i="60"/>
  <c r="S9" i="60"/>
  <c r="S13" i="60"/>
  <c r="S17" i="60"/>
  <c r="S21" i="60"/>
  <c r="U27" i="60"/>
  <c r="U33" i="60"/>
  <c r="X6" i="60"/>
  <c r="X14" i="60"/>
  <c r="X22" i="60"/>
  <c r="R37" i="60"/>
  <c r="T62" i="60"/>
  <c r="T54" i="60"/>
  <c r="T46" i="60"/>
  <c r="T38" i="60"/>
  <c r="W67" i="60"/>
  <c r="W59" i="60"/>
  <c r="W51" i="60"/>
  <c r="W43" i="60"/>
  <c r="W35" i="60"/>
  <c r="W27" i="60"/>
  <c r="R62" i="60"/>
  <c r="R54" i="60"/>
  <c r="R46" i="60"/>
  <c r="U58" i="60"/>
  <c r="U42" i="60"/>
  <c r="U13" i="60"/>
  <c r="U28" i="60"/>
  <c r="V6" i="60"/>
  <c r="R9" i="60"/>
  <c r="R11" i="60"/>
  <c r="R13" i="60"/>
  <c r="R15" i="60"/>
  <c r="R17" i="60"/>
  <c r="R19" i="60"/>
  <c r="R21" i="60"/>
  <c r="R23" i="60"/>
  <c r="R25" i="60"/>
  <c r="T27" i="60"/>
  <c r="T31" i="60"/>
  <c r="R35" i="60"/>
  <c r="R43" i="60"/>
  <c r="W6" i="60"/>
  <c r="W8" i="60"/>
  <c r="W10" i="60"/>
  <c r="W12" i="60"/>
  <c r="W14" i="60"/>
  <c r="W16" i="60"/>
  <c r="W18" i="60"/>
  <c r="W20" i="60"/>
  <c r="W22" i="60"/>
  <c r="W24" i="60"/>
  <c r="X26" i="60"/>
  <c r="U29" i="60"/>
  <c r="U32" i="60"/>
  <c r="R38" i="60"/>
  <c r="S25" i="60"/>
  <c r="X16" i="60"/>
  <c r="T68" i="60"/>
  <c r="T60" i="60"/>
  <c r="T52" i="60"/>
  <c r="T44" i="60"/>
  <c r="T36" i="60"/>
  <c r="W65" i="60"/>
  <c r="W49" i="60"/>
  <c r="W33" i="60"/>
  <c r="R60" i="60"/>
  <c r="R44" i="60"/>
  <c r="U38" i="60"/>
  <c r="R31" i="60"/>
  <c r="V11" i="60"/>
  <c r="V15" i="60"/>
  <c r="V19" i="60"/>
  <c r="V23" i="60"/>
  <c r="V28" i="60"/>
  <c r="V36" i="60"/>
  <c r="S7" i="60"/>
  <c r="S11" i="60"/>
  <c r="S15" i="60"/>
  <c r="S19" i="60"/>
  <c r="S23" i="60"/>
  <c r="R30" i="60"/>
  <c r="V39" i="60"/>
  <c r="M53" i="60"/>
  <c r="V33" i="60"/>
  <c r="X21" i="60"/>
  <c r="X13" i="60"/>
  <c r="T49" i="60"/>
  <c r="T57" i="60"/>
  <c r="T65" i="60"/>
  <c r="V29" i="60"/>
  <c r="X19" i="60"/>
  <c r="X11" i="60"/>
  <c r="W4" i="60"/>
  <c r="M4" i="60"/>
  <c r="D6" i="60"/>
  <c r="D9" i="60"/>
  <c r="D8" i="60"/>
  <c r="D7" i="60"/>
  <c r="D54" i="60"/>
  <c r="D44" i="60"/>
  <c r="X8" i="60"/>
  <c r="D66" i="60"/>
  <c r="D12" i="60"/>
  <c r="D55" i="60"/>
  <c r="D18" i="60"/>
  <c r="D15" i="60"/>
  <c r="D17" i="60"/>
  <c r="D13" i="60"/>
  <c r="D20" i="60"/>
  <c r="D42" i="60"/>
  <c r="C5" i="60"/>
  <c r="I4" i="60"/>
  <c r="K4" i="60"/>
  <c r="D14" i="60"/>
  <c r="D46" i="60"/>
  <c r="D28" i="60"/>
  <c r="D27" i="60"/>
  <c r="D26" i="60"/>
  <c r="D25" i="60"/>
  <c r="D24" i="60"/>
  <c r="D19" i="60"/>
  <c r="X5" i="60"/>
  <c r="X4" i="60"/>
  <c r="L4" i="60"/>
  <c r="Q68" i="59"/>
  <c r="Q67" i="59"/>
  <c r="Q66" i="59"/>
  <c r="Q65" i="59"/>
  <c r="Q64" i="59"/>
  <c r="Q63" i="59"/>
  <c r="Q62" i="59"/>
  <c r="Q58" i="59"/>
  <c r="Q57" i="59"/>
  <c r="Q56" i="59"/>
  <c r="Q55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Q10" i="59"/>
  <c r="Q9" i="59"/>
  <c r="Q8" i="59"/>
  <c r="Q7" i="59"/>
  <c r="Q6" i="59"/>
  <c r="Q5" i="59"/>
  <c r="M68" i="59"/>
  <c r="E68" i="59"/>
  <c r="D68" i="59"/>
  <c r="C68" i="59"/>
  <c r="B68" i="59"/>
  <c r="A68" i="59"/>
  <c r="M67" i="59"/>
  <c r="E67" i="59"/>
  <c r="D67" i="59"/>
  <c r="C67" i="59"/>
  <c r="B67" i="59"/>
  <c r="A67" i="59"/>
  <c r="M66" i="59"/>
  <c r="E66" i="59"/>
  <c r="C66" i="59"/>
  <c r="B66" i="59"/>
  <c r="A66" i="59"/>
  <c r="M65" i="59"/>
  <c r="E65" i="59"/>
  <c r="D65" i="59"/>
  <c r="C65" i="59"/>
  <c r="B65" i="59"/>
  <c r="A65" i="59"/>
  <c r="M64" i="59"/>
  <c r="E64" i="59"/>
  <c r="D64" i="59"/>
  <c r="C64" i="59"/>
  <c r="B64" i="59"/>
  <c r="A64" i="59"/>
  <c r="M63" i="59"/>
  <c r="E63" i="59"/>
  <c r="D63" i="59"/>
  <c r="A63" i="59"/>
  <c r="M62" i="59"/>
  <c r="E62" i="59"/>
  <c r="D62" i="59"/>
  <c r="C62" i="59"/>
  <c r="B61" i="59"/>
  <c r="A61" i="59"/>
  <c r="B60" i="59"/>
  <c r="A60" i="59"/>
  <c r="B59" i="59"/>
  <c r="A59" i="59"/>
  <c r="E58" i="59"/>
  <c r="D58" i="59"/>
  <c r="C58" i="59"/>
  <c r="M58" i="59"/>
  <c r="B58" i="59"/>
  <c r="A58" i="59"/>
  <c r="M57" i="59"/>
  <c r="E57" i="59"/>
  <c r="D57" i="59"/>
  <c r="A57" i="59"/>
  <c r="M56" i="59"/>
  <c r="E56" i="59"/>
  <c r="D56" i="59"/>
  <c r="C56" i="59"/>
  <c r="E55" i="59"/>
  <c r="C55" i="59"/>
  <c r="B55" i="59"/>
  <c r="A55" i="59"/>
  <c r="B54" i="59"/>
  <c r="A54" i="59"/>
  <c r="M53" i="59"/>
  <c r="E53" i="59"/>
  <c r="C53" i="59"/>
  <c r="B53" i="59"/>
  <c r="A53" i="59"/>
  <c r="M52" i="59"/>
  <c r="E52" i="59"/>
  <c r="D52" i="59"/>
  <c r="B52" i="59"/>
  <c r="A52" i="59"/>
  <c r="M51" i="59"/>
  <c r="E51" i="59"/>
  <c r="D51" i="59"/>
  <c r="M50" i="59"/>
  <c r="E50" i="59"/>
  <c r="D50" i="59"/>
  <c r="M49" i="59"/>
  <c r="E49" i="59"/>
  <c r="D49" i="59"/>
  <c r="C49" i="59"/>
  <c r="B49" i="59"/>
  <c r="A49" i="59"/>
  <c r="M48" i="59"/>
  <c r="E48" i="59"/>
  <c r="D48" i="59"/>
  <c r="C48" i="59"/>
  <c r="B48" i="59"/>
  <c r="A48" i="59"/>
  <c r="M47" i="59"/>
  <c r="E47" i="59"/>
  <c r="D47" i="59"/>
  <c r="C47" i="59"/>
  <c r="B47" i="59"/>
  <c r="A47" i="59"/>
  <c r="M46" i="59"/>
  <c r="E46" i="59"/>
  <c r="C46" i="59"/>
  <c r="B46" i="59"/>
  <c r="A46" i="59"/>
  <c r="M45" i="59"/>
  <c r="E45" i="59"/>
  <c r="D45" i="59"/>
  <c r="C45" i="59"/>
  <c r="B45" i="59"/>
  <c r="A45" i="59"/>
  <c r="M44" i="59"/>
  <c r="E44" i="59"/>
  <c r="C44" i="59"/>
  <c r="B44" i="59"/>
  <c r="A44" i="59"/>
  <c r="M43" i="59"/>
  <c r="E43" i="59"/>
  <c r="C43" i="59"/>
  <c r="B43" i="59"/>
  <c r="A43" i="59"/>
  <c r="M42" i="59"/>
  <c r="E42" i="59"/>
  <c r="C42" i="59"/>
  <c r="B42" i="59"/>
  <c r="A42" i="59"/>
  <c r="M41" i="59"/>
  <c r="E41" i="59"/>
  <c r="D41" i="59"/>
  <c r="B41" i="59"/>
  <c r="A41" i="59"/>
  <c r="M40" i="59"/>
  <c r="E40" i="59"/>
  <c r="D40" i="59"/>
  <c r="M39" i="59"/>
  <c r="E39" i="59"/>
  <c r="D39" i="59"/>
  <c r="C39" i="59"/>
  <c r="B39" i="59"/>
  <c r="A39" i="59"/>
  <c r="M38" i="59"/>
  <c r="E38" i="59"/>
  <c r="D38" i="59"/>
  <c r="C38" i="59"/>
  <c r="B38" i="59"/>
  <c r="A38" i="59"/>
  <c r="M37" i="59"/>
  <c r="E37" i="59"/>
  <c r="D37" i="59"/>
  <c r="C37" i="59"/>
  <c r="B37" i="59"/>
  <c r="A37" i="59"/>
  <c r="M36" i="59"/>
  <c r="E36" i="59"/>
  <c r="D36" i="59"/>
  <c r="C36" i="59"/>
  <c r="B36" i="59"/>
  <c r="A36" i="59"/>
  <c r="M35" i="59"/>
  <c r="E35" i="59"/>
  <c r="D35" i="59"/>
  <c r="C35" i="59"/>
  <c r="B35" i="59"/>
  <c r="A35" i="59"/>
  <c r="M34" i="59"/>
  <c r="E34" i="59"/>
  <c r="D34" i="59"/>
  <c r="C34" i="59"/>
  <c r="B34" i="59"/>
  <c r="A34" i="59"/>
  <c r="M33" i="59"/>
  <c r="E33" i="59"/>
  <c r="D33" i="59"/>
  <c r="C33" i="59"/>
  <c r="B33" i="59"/>
  <c r="A33" i="59"/>
  <c r="M32" i="59"/>
  <c r="E32" i="59"/>
  <c r="D32" i="59"/>
  <c r="M31" i="59"/>
  <c r="E31" i="59"/>
  <c r="D31" i="59"/>
  <c r="C31" i="59"/>
  <c r="B31" i="59"/>
  <c r="A31" i="59"/>
  <c r="M30" i="59"/>
  <c r="E30" i="59"/>
  <c r="D30" i="59"/>
  <c r="C30" i="59"/>
  <c r="B30" i="59"/>
  <c r="A30" i="59"/>
  <c r="M29" i="59"/>
  <c r="E29" i="59"/>
  <c r="D29" i="59"/>
  <c r="C29" i="59"/>
  <c r="B29" i="59"/>
  <c r="A29" i="59"/>
  <c r="M28" i="59"/>
  <c r="E28" i="59"/>
  <c r="C28" i="59"/>
  <c r="B28" i="59"/>
  <c r="A28" i="59"/>
  <c r="M27" i="59"/>
  <c r="E27" i="59"/>
  <c r="C27" i="59"/>
  <c r="B27" i="59"/>
  <c r="A27" i="59"/>
  <c r="M26" i="59"/>
  <c r="E26" i="59"/>
  <c r="C26" i="59"/>
  <c r="B26" i="59"/>
  <c r="A26" i="59"/>
  <c r="M25" i="59"/>
  <c r="E25" i="59"/>
  <c r="C25" i="59"/>
  <c r="B25" i="59"/>
  <c r="A25" i="59"/>
  <c r="M24" i="59"/>
  <c r="E24" i="59"/>
  <c r="C24" i="59"/>
  <c r="B24" i="59"/>
  <c r="A24" i="59"/>
  <c r="M23" i="59"/>
  <c r="M22" i="59"/>
  <c r="E22" i="59"/>
  <c r="D22" i="59"/>
  <c r="C22" i="59"/>
  <c r="B22" i="59"/>
  <c r="A22" i="59"/>
  <c r="M21" i="59"/>
  <c r="E21" i="59"/>
  <c r="D21" i="59"/>
  <c r="C21" i="59"/>
  <c r="B21" i="59"/>
  <c r="A21" i="59"/>
  <c r="M20" i="59"/>
  <c r="E20" i="59"/>
  <c r="C20" i="59"/>
  <c r="B20" i="59"/>
  <c r="A20" i="59"/>
  <c r="M19" i="59"/>
  <c r="E19" i="59"/>
  <c r="C19" i="59"/>
  <c r="B19" i="59"/>
  <c r="A19" i="59"/>
  <c r="M18" i="59"/>
  <c r="E18" i="59"/>
  <c r="C18" i="59"/>
  <c r="B18" i="59"/>
  <c r="A18" i="59"/>
  <c r="M17" i="59"/>
  <c r="E17" i="59"/>
  <c r="C17" i="59"/>
  <c r="B17" i="59"/>
  <c r="A17" i="59"/>
  <c r="M16" i="59"/>
  <c r="D16" i="59"/>
  <c r="M15" i="59"/>
  <c r="E15" i="59"/>
  <c r="C15" i="59"/>
  <c r="B15" i="59"/>
  <c r="A15" i="59"/>
  <c r="M14" i="59"/>
  <c r="E14" i="59"/>
  <c r="C14" i="59"/>
  <c r="B14" i="59"/>
  <c r="A14" i="59"/>
  <c r="M13" i="59"/>
  <c r="E13" i="59"/>
  <c r="C13" i="59"/>
  <c r="B13" i="59"/>
  <c r="A13" i="59"/>
  <c r="M12" i="59"/>
  <c r="E12" i="59"/>
  <c r="C12" i="59"/>
  <c r="B12" i="59"/>
  <c r="A12" i="59"/>
  <c r="M11" i="59"/>
  <c r="D11" i="59"/>
  <c r="B11" i="59"/>
  <c r="A11" i="59"/>
  <c r="M10" i="59"/>
  <c r="D10" i="59"/>
  <c r="M9" i="59"/>
  <c r="E9" i="59"/>
  <c r="C9" i="59"/>
  <c r="B9" i="59"/>
  <c r="A9" i="59"/>
  <c r="M8" i="59"/>
  <c r="E8" i="59"/>
  <c r="C8" i="59"/>
  <c r="B8" i="59"/>
  <c r="A8" i="59"/>
  <c r="M7" i="59"/>
  <c r="E7" i="59"/>
  <c r="C7" i="59"/>
  <c r="B7" i="59"/>
  <c r="A7" i="59"/>
  <c r="M6" i="59"/>
  <c r="E6" i="59"/>
  <c r="C6" i="59"/>
  <c r="B6" i="59"/>
  <c r="A6" i="59"/>
  <c r="M5" i="59"/>
  <c r="B5" i="59"/>
  <c r="A5" i="59"/>
  <c r="B2" i="59"/>
  <c r="D43" i="59"/>
  <c r="C4" i="59"/>
  <c r="M55" i="59"/>
  <c r="M61" i="59"/>
  <c r="Q61" i="59"/>
  <c r="M54" i="59"/>
  <c r="Q54" i="59"/>
  <c r="M59" i="59"/>
  <c r="Q59" i="59"/>
  <c r="M60" i="59"/>
  <c r="Q60" i="59"/>
  <c r="U41" i="59"/>
  <c r="R8" i="59"/>
  <c r="R12" i="59"/>
  <c r="R16" i="59"/>
  <c r="R20" i="59"/>
  <c r="T26" i="59"/>
  <c r="T8" i="59"/>
  <c r="T12" i="59"/>
  <c r="T16" i="59"/>
  <c r="T20" i="59"/>
  <c r="T5" i="59"/>
  <c r="T9" i="59"/>
  <c r="T13" i="59"/>
  <c r="T17" i="59"/>
  <c r="T21" i="59"/>
  <c r="V25" i="59"/>
  <c r="X12" i="59"/>
  <c r="X16" i="59"/>
  <c r="X20" i="59"/>
  <c r="X24" i="59"/>
  <c r="S6" i="59"/>
  <c r="S8" i="59"/>
  <c r="S10" i="59"/>
  <c r="S12" i="59"/>
  <c r="S14" i="59"/>
  <c r="S16" i="59"/>
  <c r="S18" i="59"/>
  <c r="S20" i="59"/>
  <c r="S22" i="59"/>
  <c r="S24" i="59"/>
  <c r="S26" i="59"/>
  <c r="U33" i="59"/>
  <c r="X68" i="59"/>
  <c r="X66" i="59"/>
  <c r="X64" i="59"/>
  <c r="X62" i="59"/>
  <c r="X60" i="59"/>
  <c r="X58" i="59"/>
  <c r="X56" i="59"/>
  <c r="X54" i="59"/>
  <c r="X52" i="59"/>
  <c r="X50" i="59"/>
  <c r="X48" i="59"/>
  <c r="X46" i="59"/>
  <c r="X44" i="59"/>
  <c r="X42" i="59"/>
  <c r="X40" i="59"/>
  <c r="X38" i="59"/>
  <c r="X36" i="59"/>
  <c r="X34" i="59"/>
  <c r="X32" i="59"/>
  <c r="X30" i="59"/>
  <c r="X28" i="59"/>
  <c r="X26" i="59"/>
  <c r="S67" i="59"/>
  <c r="S65" i="59"/>
  <c r="S63" i="59"/>
  <c r="S61" i="59"/>
  <c r="S59" i="59"/>
  <c r="S57" i="59"/>
  <c r="S55" i="59"/>
  <c r="S53" i="59"/>
  <c r="S51" i="59"/>
  <c r="S49" i="59"/>
  <c r="S47" i="59"/>
  <c r="S45" i="59"/>
  <c r="S43" i="59"/>
  <c r="S41" i="59"/>
  <c r="S39" i="59"/>
  <c r="S37" i="59"/>
  <c r="S35" i="59"/>
  <c r="S33" i="59"/>
  <c r="S31" i="59"/>
  <c r="S29" i="59"/>
  <c r="S27" i="59"/>
  <c r="V67" i="59"/>
  <c r="V65" i="59"/>
  <c r="V63" i="59"/>
  <c r="V61" i="59"/>
  <c r="V59" i="59"/>
  <c r="V57" i="59"/>
  <c r="V55" i="59"/>
  <c r="V53" i="59"/>
  <c r="V51" i="59"/>
  <c r="X9" i="59"/>
  <c r="X13" i="59"/>
  <c r="X17" i="59"/>
  <c r="X21" i="59"/>
  <c r="R5" i="59"/>
  <c r="R9" i="59"/>
  <c r="R13" i="59"/>
  <c r="R17" i="59"/>
  <c r="R21" i="59"/>
  <c r="R6" i="59"/>
  <c r="R10" i="59"/>
  <c r="R14" i="59"/>
  <c r="R18" i="59"/>
  <c r="R22" i="59"/>
  <c r="V5" i="59"/>
  <c r="V9" i="59"/>
  <c r="V13" i="59"/>
  <c r="V17" i="59"/>
  <c r="V21" i="59"/>
  <c r="W6" i="59"/>
  <c r="W8" i="59"/>
  <c r="W10" i="59"/>
  <c r="W12" i="59"/>
  <c r="W14" i="59"/>
  <c r="W16" i="59"/>
  <c r="W18" i="59"/>
  <c r="W20" i="59"/>
  <c r="W22" i="59"/>
  <c r="W24" i="59"/>
  <c r="U27" i="59"/>
  <c r="U35" i="59"/>
  <c r="T68" i="59"/>
  <c r="T66" i="59"/>
  <c r="T64" i="59"/>
  <c r="T62" i="59"/>
  <c r="T60" i="59"/>
  <c r="T58" i="59"/>
  <c r="T56" i="59"/>
  <c r="T54" i="59"/>
  <c r="T52" i="59"/>
  <c r="T50" i="59"/>
  <c r="T48" i="59"/>
  <c r="T46" i="59"/>
  <c r="T44" i="59"/>
  <c r="T42" i="59"/>
  <c r="T40" i="59"/>
  <c r="T38" i="59"/>
  <c r="T36" i="59"/>
  <c r="T34" i="59"/>
  <c r="T32" i="59"/>
  <c r="T30" i="59"/>
  <c r="T28" i="59"/>
  <c r="W68" i="59"/>
  <c r="W66" i="59"/>
  <c r="W64" i="59"/>
  <c r="W62" i="59"/>
  <c r="W60" i="59"/>
  <c r="W58" i="59"/>
  <c r="W56" i="59"/>
  <c r="W54" i="59"/>
  <c r="W52" i="59"/>
  <c r="W50" i="59"/>
  <c r="W48" i="59"/>
  <c r="W46" i="59"/>
  <c r="W44" i="59"/>
  <c r="W42" i="59"/>
  <c r="W40" i="59"/>
  <c r="W38" i="59"/>
  <c r="W36" i="59"/>
  <c r="W34" i="59"/>
  <c r="W32" i="59"/>
  <c r="W30" i="59"/>
  <c r="W28" i="59"/>
  <c r="W26" i="59"/>
  <c r="R67" i="59"/>
  <c r="R65" i="59"/>
  <c r="R63" i="59"/>
  <c r="R61" i="59"/>
  <c r="R59" i="59"/>
  <c r="R57" i="59"/>
  <c r="R55" i="59"/>
  <c r="R53" i="59"/>
  <c r="R51" i="59"/>
  <c r="V6" i="59"/>
  <c r="V10" i="59"/>
  <c r="V14" i="59"/>
  <c r="V18" i="59"/>
  <c r="V22" i="59"/>
  <c r="X6" i="59"/>
  <c r="X10" i="59"/>
  <c r="X14" i="59"/>
  <c r="X18" i="59"/>
  <c r="X22" i="59"/>
  <c r="X7" i="59"/>
  <c r="X11" i="59"/>
  <c r="X15" i="59"/>
  <c r="X19" i="59"/>
  <c r="T24" i="59"/>
  <c r="T6" i="59"/>
  <c r="T10" i="59"/>
  <c r="T14" i="59"/>
  <c r="T18" i="59"/>
  <c r="T22" i="59"/>
  <c r="S5" i="59"/>
  <c r="S7" i="59"/>
  <c r="S9" i="59"/>
  <c r="S11" i="59"/>
  <c r="S13" i="59"/>
  <c r="S15" i="59"/>
  <c r="S17" i="59"/>
  <c r="S19" i="59"/>
  <c r="S21" i="59"/>
  <c r="S23" i="59"/>
  <c r="S25" i="59"/>
  <c r="U29" i="59"/>
  <c r="U37" i="59"/>
  <c r="X67" i="59"/>
  <c r="X65" i="59"/>
  <c r="X63" i="59"/>
  <c r="X61" i="59"/>
  <c r="X59" i="59"/>
  <c r="X57" i="59"/>
  <c r="X55" i="59"/>
  <c r="X53" i="59"/>
  <c r="X51" i="59"/>
  <c r="X49" i="59"/>
  <c r="X47" i="59"/>
  <c r="X45" i="59"/>
  <c r="X43" i="59"/>
  <c r="X41" i="59"/>
  <c r="X39" i="59"/>
  <c r="X37" i="59"/>
  <c r="X35" i="59"/>
  <c r="X33" i="59"/>
  <c r="X31" i="59"/>
  <c r="X29" i="59"/>
  <c r="X27" i="59"/>
  <c r="S68" i="59"/>
  <c r="S66" i="59"/>
  <c r="S64" i="59"/>
  <c r="S62" i="59"/>
  <c r="S60" i="59"/>
  <c r="S58" i="59"/>
  <c r="S56" i="59"/>
  <c r="S54" i="59"/>
  <c r="S52" i="59"/>
  <c r="S50" i="59"/>
  <c r="S48" i="59"/>
  <c r="S46" i="59"/>
  <c r="S44" i="59"/>
  <c r="S42" i="59"/>
  <c r="S40" i="59"/>
  <c r="S38" i="59"/>
  <c r="S36" i="59"/>
  <c r="S34" i="59"/>
  <c r="S32" i="59"/>
  <c r="S30" i="59"/>
  <c r="S28" i="59"/>
  <c r="V68" i="59"/>
  <c r="V66" i="59"/>
  <c r="V64" i="59"/>
  <c r="V62" i="59"/>
  <c r="V60" i="59"/>
  <c r="V58" i="59"/>
  <c r="V56" i="59"/>
  <c r="V54" i="59"/>
  <c r="V52" i="59"/>
  <c r="V50" i="59"/>
  <c r="T7" i="59"/>
  <c r="T11" i="59"/>
  <c r="T15" i="59"/>
  <c r="T19" i="59"/>
  <c r="X23" i="59"/>
  <c r="V7" i="59"/>
  <c r="V11" i="59"/>
  <c r="V15" i="59"/>
  <c r="V19" i="59"/>
  <c r="T25" i="59"/>
  <c r="V8" i="59"/>
  <c r="V12" i="59"/>
  <c r="V16" i="59"/>
  <c r="V20" i="59"/>
  <c r="X25" i="59"/>
  <c r="R7" i="59"/>
  <c r="R11" i="59"/>
  <c r="R15" i="59"/>
  <c r="R19" i="59"/>
  <c r="T23" i="59"/>
  <c r="W5" i="59"/>
  <c r="W7" i="59"/>
  <c r="W9" i="59"/>
  <c r="W11" i="59"/>
  <c r="W13" i="59"/>
  <c r="W15" i="59"/>
  <c r="W17" i="59"/>
  <c r="W19" i="59"/>
  <c r="W21" i="59"/>
  <c r="W23" i="59"/>
  <c r="W25" i="59"/>
  <c r="U31" i="59"/>
  <c r="U39" i="59"/>
  <c r="T67" i="59"/>
  <c r="T65" i="59"/>
  <c r="T63" i="59"/>
  <c r="T61" i="59"/>
  <c r="T59" i="59"/>
  <c r="T57" i="59"/>
  <c r="T55" i="59"/>
  <c r="T53" i="59"/>
  <c r="T51" i="59"/>
  <c r="T49" i="59"/>
  <c r="T47" i="59"/>
  <c r="T45" i="59"/>
  <c r="T43" i="59"/>
  <c r="T41" i="59"/>
  <c r="T39" i="59"/>
  <c r="T37" i="59"/>
  <c r="T35" i="59"/>
  <c r="T33" i="59"/>
  <c r="T31" i="59"/>
  <c r="T29" i="59"/>
  <c r="T27" i="59"/>
  <c r="W67" i="59"/>
  <c r="W65" i="59"/>
  <c r="W63" i="59"/>
  <c r="W61" i="59"/>
  <c r="W59" i="59"/>
  <c r="W57" i="59"/>
  <c r="W55" i="59"/>
  <c r="W53" i="59"/>
  <c r="W51" i="59"/>
  <c r="W49" i="59"/>
  <c r="W47" i="59"/>
  <c r="W45" i="59"/>
  <c r="W43" i="59"/>
  <c r="W41" i="59"/>
  <c r="W39" i="59"/>
  <c r="W37" i="59"/>
  <c r="W35" i="59"/>
  <c r="W33" i="59"/>
  <c r="W31" i="59"/>
  <c r="W29" i="59"/>
  <c r="W27" i="59"/>
  <c r="R68" i="59"/>
  <c r="R66" i="59"/>
  <c r="R64" i="59"/>
  <c r="R62" i="59"/>
  <c r="R60" i="59"/>
  <c r="R58" i="59"/>
  <c r="R56" i="59"/>
  <c r="R54" i="59"/>
  <c r="R52" i="59"/>
  <c r="R50" i="59"/>
  <c r="R48" i="59"/>
  <c r="R46" i="59"/>
  <c r="R44" i="59"/>
  <c r="R42" i="59"/>
  <c r="R40" i="59"/>
  <c r="R38" i="59"/>
  <c r="R36" i="59"/>
  <c r="R34" i="59"/>
  <c r="R32" i="59"/>
  <c r="R30" i="59"/>
  <c r="R28" i="59"/>
  <c r="U68" i="59"/>
  <c r="U64" i="59"/>
  <c r="U60" i="59"/>
  <c r="U56" i="59"/>
  <c r="U52" i="59"/>
  <c r="U48" i="59"/>
  <c r="U44" i="59"/>
  <c r="U6" i="59"/>
  <c r="U10" i="59"/>
  <c r="U14" i="59"/>
  <c r="U22" i="59"/>
  <c r="U26" i="59"/>
  <c r="R23" i="59"/>
  <c r="V49" i="59"/>
  <c r="V47" i="59"/>
  <c r="V45" i="59"/>
  <c r="V43" i="59"/>
  <c r="V41" i="59"/>
  <c r="V39" i="59"/>
  <c r="V37" i="59"/>
  <c r="V35" i="59"/>
  <c r="V33" i="59"/>
  <c r="V31" i="59"/>
  <c r="V29" i="59"/>
  <c r="V27" i="59"/>
  <c r="U67" i="59"/>
  <c r="U63" i="59"/>
  <c r="U59" i="59"/>
  <c r="U55" i="59"/>
  <c r="U51" i="59"/>
  <c r="U47" i="59"/>
  <c r="U43" i="59"/>
  <c r="U7" i="59"/>
  <c r="U11" i="59"/>
  <c r="U15" i="59"/>
  <c r="U19" i="59"/>
  <c r="U23" i="59"/>
  <c r="U28" i="59"/>
  <c r="U36" i="59"/>
  <c r="V23" i="59"/>
  <c r="R26" i="59"/>
  <c r="R49" i="59"/>
  <c r="R47" i="59"/>
  <c r="R45" i="59"/>
  <c r="R43" i="59"/>
  <c r="R41" i="59"/>
  <c r="R39" i="59"/>
  <c r="R37" i="59"/>
  <c r="R35" i="59"/>
  <c r="R33" i="59"/>
  <c r="R31" i="59"/>
  <c r="R29" i="59"/>
  <c r="R27" i="59"/>
  <c r="U66" i="59"/>
  <c r="U62" i="59"/>
  <c r="U58" i="59"/>
  <c r="U54" i="59"/>
  <c r="U50" i="59"/>
  <c r="U46" i="59"/>
  <c r="U42" i="59"/>
  <c r="U8" i="59"/>
  <c r="U12" i="59"/>
  <c r="U16" i="59"/>
  <c r="U20" i="59"/>
  <c r="U24" i="59"/>
  <c r="U30" i="59"/>
  <c r="U38" i="59"/>
  <c r="R24" i="59"/>
  <c r="V48" i="59"/>
  <c r="V46" i="59"/>
  <c r="V44" i="59"/>
  <c r="V42" i="59"/>
  <c r="V40" i="59"/>
  <c r="V38" i="59"/>
  <c r="V36" i="59"/>
  <c r="V34" i="59"/>
  <c r="V32" i="59"/>
  <c r="V30" i="59"/>
  <c r="V28" i="59"/>
  <c r="V26" i="59"/>
  <c r="U65" i="59"/>
  <c r="U61" i="59"/>
  <c r="U57" i="59"/>
  <c r="U53" i="59"/>
  <c r="U49" i="59"/>
  <c r="U45" i="59"/>
  <c r="U5" i="59"/>
  <c r="U9" i="59"/>
  <c r="U13" i="59"/>
  <c r="U17" i="59"/>
  <c r="U21" i="59"/>
  <c r="U25" i="59"/>
  <c r="U32" i="59"/>
  <c r="U40" i="59"/>
  <c r="V24" i="59"/>
  <c r="U18" i="59"/>
  <c r="U34" i="59"/>
  <c r="R25" i="59"/>
  <c r="M4" i="59"/>
  <c r="W4" i="59"/>
  <c r="D6" i="59"/>
  <c r="D9" i="59"/>
  <c r="D8" i="59"/>
  <c r="D7" i="59"/>
  <c r="D53" i="59"/>
  <c r="D44" i="59"/>
  <c r="X8" i="59"/>
  <c r="D66" i="59"/>
  <c r="D12" i="59"/>
  <c r="D55" i="59"/>
  <c r="D18" i="59"/>
  <c r="D15" i="59"/>
  <c r="D17" i="59"/>
  <c r="D13" i="59"/>
  <c r="D20" i="59"/>
  <c r="D42" i="59"/>
  <c r="C5" i="59"/>
  <c r="I4" i="59"/>
  <c r="K4" i="59"/>
  <c r="D14" i="59"/>
  <c r="D46" i="59"/>
  <c r="D28" i="59"/>
  <c r="D27" i="59"/>
  <c r="D26" i="59"/>
  <c r="D25" i="59"/>
  <c r="D24" i="59"/>
  <c r="D19" i="59"/>
  <c r="X5" i="59"/>
  <c r="X4" i="59"/>
  <c r="L4" i="59"/>
  <c r="Q6" i="58"/>
  <c r="Q7" i="58"/>
  <c r="Q8" i="58"/>
  <c r="Q9" i="58"/>
  <c r="Q10" i="58"/>
  <c r="Q11" i="58"/>
  <c r="Q12" i="58"/>
  <c r="Q13" i="58"/>
  <c r="Q14" i="58"/>
  <c r="Q15" i="58"/>
  <c r="Q16" i="58"/>
  <c r="Q17" i="58"/>
  <c r="Q18" i="58"/>
  <c r="Q19" i="58"/>
  <c r="Q20" i="58"/>
  <c r="Q21" i="58"/>
  <c r="Q22" i="58"/>
  <c r="Q23" i="58"/>
  <c r="Q24" i="58"/>
  <c r="Q25" i="58"/>
  <c r="Q26" i="58"/>
  <c r="Q27" i="58"/>
  <c r="Q28" i="58"/>
  <c r="Q29" i="58"/>
  <c r="Q30" i="58"/>
  <c r="Q31" i="58"/>
  <c r="Q32" i="58"/>
  <c r="Q33" i="58"/>
  <c r="Q34" i="58"/>
  <c r="Q35" i="58"/>
  <c r="Q36" i="58"/>
  <c r="Q37" i="58"/>
  <c r="Q38" i="58"/>
  <c r="Q39" i="58"/>
  <c r="Q40" i="58"/>
  <c r="Q41" i="58"/>
  <c r="Q42" i="58"/>
  <c r="Q43" i="58"/>
  <c r="Q44" i="58"/>
  <c r="Q45" i="58"/>
  <c r="Q46" i="58"/>
  <c r="Q47" i="58"/>
  <c r="Q48" i="58"/>
  <c r="Q49" i="58"/>
  <c r="Q50" i="58"/>
  <c r="Q51" i="58"/>
  <c r="Q52" i="58"/>
  <c r="Q53" i="58"/>
  <c r="Q54" i="58"/>
  <c r="Q56" i="58"/>
  <c r="Q57" i="58"/>
  <c r="Q58" i="58"/>
  <c r="Q62" i="58"/>
  <c r="Q63" i="58"/>
  <c r="Q64" i="58"/>
  <c r="Q65" i="58"/>
  <c r="Q66" i="58"/>
  <c r="Q67" i="58"/>
  <c r="Q68" i="58"/>
  <c r="Q5" i="58"/>
  <c r="C62" i="58"/>
  <c r="D62" i="58"/>
  <c r="E62" i="58"/>
  <c r="M62" i="58"/>
  <c r="A63" i="58"/>
  <c r="D63" i="58"/>
  <c r="E63" i="58"/>
  <c r="M63" i="58"/>
  <c r="A64" i="58"/>
  <c r="B64" i="58"/>
  <c r="C64" i="58"/>
  <c r="D64" i="58"/>
  <c r="E64" i="58"/>
  <c r="M64" i="58"/>
  <c r="A65" i="58"/>
  <c r="B65" i="58"/>
  <c r="C65" i="58"/>
  <c r="D65" i="58"/>
  <c r="E65" i="58"/>
  <c r="M65" i="58"/>
  <c r="A66" i="58"/>
  <c r="B66" i="58"/>
  <c r="C66" i="58"/>
  <c r="D66" i="58"/>
  <c r="E66" i="58"/>
  <c r="M66" i="58"/>
  <c r="A67" i="58"/>
  <c r="B67" i="58"/>
  <c r="C67" i="58"/>
  <c r="D67" i="58"/>
  <c r="E67" i="58"/>
  <c r="M67" i="58"/>
  <c r="A68" i="58"/>
  <c r="B68" i="58"/>
  <c r="C68" i="58"/>
  <c r="D68" i="58"/>
  <c r="E68" i="58"/>
  <c r="M68" i="58"/>
  <c r="C56" i="58"/>
  <c r="D56" i="58"/>
  <c r="E56" i="58"/>
  <c r="M56" i="58"/>
  <c r="A57" i="58"/>
  <c r="D57" i="58"/>
  <c r="E57" i="58"/>
  <c r="M57" i="58"/>
  <c r="A58" i="58"/>
  <c r="B58" i="58"/>
  <c r="C58" i="58"/>
  <c r="E58" i="58"/>
  <c r="M58" i="58"/>
  <c r="A5" i="58"/>
  <c r="B5" i="58"/>
  <c r="C5" i="58"/>
  <c r="M5" i="58"/>
  <c r="A6" i="58"/>
  <c r="B6" i="58"/>
  <c r="C6" i="58"/>
  <c r="D6" i="58"/>
  <c r="E6" i="58"/>
  <c r="M6" i="58"/>
  <c r="A7" i="58"/>
  <c r="B7" i="58"/>
  <c r="C7" i="58"/>
  <c r="D7" i="58"/>
  <c r="E7" i="58"/>
  <c r="M7" i="58"/>
  <c r="A8" i="58"/>
  <c r="B8" i="58"/>
  <c r="C8" i="58"/>
  <c r="D8" i="58"/>
  <c r="E8" i="58"/>
  <c r="M8" i="58"/>
  <c r="A9" i="58"/>
  <c r="B9" i="58"/>
  <c r="C9" i="58"/>
  <c r="D9" i="58"/>
  <c r="E9" i="58"/>
  <c r="M9" i="58"/>
  <c r="D10" i="58"/>
  <c r="M10" i="58"/>
  <c r="A11" i="58"/>
  <c r="B11" i="58"/>
  <c r="D11" i="58"/>
  <c r="M11" i="58"/>
  <c r="A12" i="58"/>
  <c r="B12" i="58"/>
  <c r="C12" i="58"/>
  <c r="D12" i="58"/>
  <c r="E12" i="58"/>
  <c r="M12" i="58"/>
  <c r="A13" i="58"/>
  <c r="B13" i="58"/>
  <c r="C13" i="58"/>
  <c r="D13" i="58"/>
  <c r="E13" i="58"/>
  <c r="M13" i="58"/>
  <c r="A14" i="58"/>
  <c r="B14" i="58"/>
  <c r="C14" i="58"/>
  <c r="D14" i="58"/>
  <c r="E14" i="58"/>
  <c r="M14" i="58"/>
  <c r="A15" i="58"/>
  <c r="B15" i="58"/>
  <c r="C15" i="58"/>
  <c r="D15" i="58"/>
  <c r="E15" i="58"/>
  <c r="M15" i="58"/>
  <c r="D16" i="58"/>
  <c r="M16" i="58"/>
  <c r="A17" i="58"/>
  <c r="B17" i="58"/>
  <c r="C17" i="58"/>
  <c r="D17" i="58"/>
  <c r="E17" i="58"/>
  <c r="M17" i="58"/>
  <c r="A18" i="58"/>
  <c r="B18" i="58"/>
  <c r="C18" i="58"/>
  <c r="D18" i="58"/>
  <c r="E18" i="58"/>
  <c r="M18" i="58"/>
  <c r="A19" i="58"/>
  <c r="B19" i="58"/>
  <c r="C19" i="58"/>
  <c r="D19" i="58"/>
  <c r="E19" i="58"/>
  <c r="M19" i="58"/>
  <c r="A20" i="58"/>
  <c r="B20" i="58"/>
  <c r="C20" i="58"/>
  <c r="D20" i="58"/>
  <c r="E20" i="58"/>
  <c r="M20" i="58"/>
  <c r="A21" i="58"/>
  <c r="B21" i="58"/>
  <c r="C21" i="58"/>
  <c r="D21" i="58"/>
  <c r="E21" i="58"/>
  <c r="M21" i="58"/>
  <c r="A22" i="58"/>
  <c r="B22" i="58"/>
  <c r="C22" i="58"/>
  <c r="D22" i="58"/>
  <c r="E22" i="58"/>
  <c r="M22" i="58"/>
  <c r="M23" i="58"/>
  <c r="A24" i="58"/>
  <c r="B24" i="58"/>
  <c r="C24" i="58"/>
  <c r="D24" i="58"/>
  <c r="E24" i="58"/>
  <c r="M24" i="58"/>
  <c r="A25" i="58"/>
  <c r="B25" i="58"/>
  <c r="C25" i="58"/>
  <c r="D25" i="58"/>
  <c r="E25" i="58"/>
  <c r="M25" i="58"/>
  <c r="A26" i="58"/>
  <c r="B26" i="58"/>
  <c r="C26" i="58"/>
  <c r="D26" i="58"/>
  <c r="E26" i="58"/>
  <c r="M26" i="58"/>
  <c r="A27" i="58"/>
  <c r="B27" i="58"/>
  <c r="C27" i="58"/>
  <c r="D27" i="58"/>
  <c r="E27" i="58"/>
  <c r="M27" i="58"/>
  <c r="A28" i="58"/>
  <c r="B28" i="58"/>
  <c r="C28" i="58"/>
  <c r="D28" i="58"/>
  <c r="E28" i="58"/>
  <c r="M28" i="58"/>
  <c r="A29" i="58"/>
  <c r="B29" i="58"/>
  <c r="C29" i="58"/>
  <c r="D29" i="58"/>
  <c r="E29" i="58"/>
  <c r="M29" i="58"/>
  <c r="A30" i="58"/>
  <c r="B30" i="58"/>
  <c r="C30" i="58"/>
  <c r="D30" i="58"/>
  <c r="E30" i="58"/>
  <c r="M30" i="58"/>
  <c r="A31" i="58"/>
  <c r="B31" i="58"/>
  <c r="C31" i="58"/>
  <c r="D31" i="58"/>
  <c r="E31" i="58"/>
  <c r="M31" i="58"/>
  <c r="D32" i="58"/>
  <c r="E32" i="58"/>
  <c r="M32" i="58"/>
  <c r="A33" i="58"/>
  <c r="B33" i="58"/>
  <c r="C33" i="58"/>
  <c r="D33" i="58"/>
  <c r="E33" i="58"/>
  <c r="M33" i="58"/>
  <c r="A34" i="58"/>
  <c r="B34" i="58"/>
  <c r="C34" i="58"/>
  <c r="D34" i="58"/>
  <c r="E34" i="58"/>
  <c r="M34" i="58"/>
  <c r="A35" i="58"/>
  <c r="B35" i="58"/>
  <c r="C35" i="58"/>
  <c r="D35" i="58"/>
  <c r="E35" i="58"/>
  <c r="M35" i="58"/>
  <c r="A36" i="58"/>
  <c r="B36" i="58"/>
  <c r="C36" i="58"/>
  <c r="D36" i="58"/>
  <c r="E36" i="58"/>
  <c r="M36" i="58"/>
  <c r="A37" i="58"/>
  <c r="B37" i="58"/>
  <c r="C37" i="58"/>
  <c r="D37" i="58"/>
  <c r="E37" i="58"/>
  <c r="M37" i="58"/>
  <c r="A38" i="58"/>
  <c r="B38" i="58"/>
  <c r="C38" i="58"/>
  <c r="D38" i="58"/>
  <c r="E38" i="58"/>
  <c r="M38" i="58"/>
  <c r="A39" i="58"/>
  <c r="B39" i="58"/>
  <c r="C39" i="58"/>
  <c r="D39" i="58"/>
  <c r="E39" i="58"/>
  <c r="M39" i="58"/>
  <c r="D40" i="58"/>
  <c r="E40" i="58"/>
  <c r="M40" i="58"/>
  <c r="A41" i="58"/>
  <c r="B41" i="58"/>
  <c r="D41" i="58"/>
  <c r="E41" i="58"/>
  <c r="M41" i="58"/>
  <c r="A42" i="58"/>
  <c r="B42" i="58"/>
  <c r="C42" i="58"/>
  <c r="D42" i="58"/>
  <c r="E42" i="58"/>
  <c r="M42" i="58"/>
  <c r="A43" i="58"/>
  <c r="B43" i="58"/>
  <c r="C43" i="58"/>
  <c r="D43" i="58"/>
  <c r="E43" i="58"/>
  <c r="M43" i="58"/>
  <c r="A44" i="58"/>
  <c r="B44" i="58"/>
  <c r="C44" i="58"/>
  <c r="D44" i="58"/>
  <c r="E44" i="58"/>
  <c r="M44" i="58"/>
  <c r="A45" i="58"/>
  <c r="B45" i="58"/>
  <c r="C45" i="58"/>
  <c r="D45" i="58"/>
  <c r="E45" i="58"/>
  <c r="M45" i="58"/>
  <c r="A46" i="58"/>
  <c r="B46" i="58"/>
  <c r="C46" i="58"/>
  <c r="D46" i="58"/>
  <c r="E46" i="58"/>
  <c r="M46" i="58"/>
  <c r="A47" i="58"/>
  <c r="B47" i="58"/>
  <c r="C47" i="58"/>
  <c r="D47" i="58"/>
  <c r="E47" i="58"/>
  <c r="M47" i="58"/>
  <c r="A48" i="58"/>
  <c r="B48" i="58"/>
  <c r="C48" i="58"/>
  <c r="D48" i="58"/>
  <c r="E48" i="58"/>
  <c r="M48" i="58"/>
  <c r="A49" i="58"/>
  <c r="B49" i="58"/>
  <c r="C49" i="58"/>
  <c r="D49" i="58"/>
  <c r="E49" i="58"/>
  <c r="M49" i="58"/>
  <c r="D50" i="58"/>
  <c r="E50" i="58"/>
  <c r="M50" i="58"/>
  <c r="D51" i="58"/>
  <c r="E51" i="58"/>
  <c r="M51" i="58"/>
  <c r="A52" i="58"/>
  <c r="B52" i="58"/>
  <c r="D52" i="58"/>
  <c r="E52" i="58"/>
  <c r="M52" i="58"/>
  <c r="A53" i="58"/>
  <c r="B53" i="58"/>
  <c r="C53" i="58"/>
  <c r="D53" i="58"/>
  <c r="E53" i="58"/>
  <c r="M53" i="58"/>
  <c r="A54" i="58"/>
  <c r="B54" i="58"/>
  <c r="C54" i="58"/>
  <c r="D54" i="58"/>
  <c r="E54" i="58"/>
  <c r="M54" i="58"/>
  <c r="B61" i="58"/>
  <c r="A61" i="58"/>
  <c r="B60" i="58"/>
  <c r="A60" i="58"/>
  <c r="B59" i="58"/>
  <c r="A59" i="58"/>
  <c r="B55" i="58"/>
  <c r="A55" i="58"/>
  <c r="B2" i="58"/>
  <c r="C4" i="58"/>
  <c r="M60" i="58"/>
  <c r="Q60" i="58"/>
  <c r="M59" i="58"/>
  <c r="Q59" i="58"/>
  <c r="M61" i="58"/>
  <c r="Q61" i="58"/>
  <c r="M55" i="58"/>
  <c r="Q55" i="58"/>
  <c r="R28" i="58"/>
  <c r="W7" i="58"/>
  <c r="W68" i="58"/>
  <c r="U66" i="58"/>
  <c r="S64" i="58"/>
  <c r="X61" i="58"/>
  <c r="V59" i="58"/>
  <c r="S57" i="58"/>
  <c r="S54" i="58"/>
  <c r="S51" i="58"/>
  <c r="R48" i="58"/>
  <c r="R45" i="58"/>
  <c r="R42" i="58"/>
  <c r="X38" i="58"/>
  <c r="X35" i="58"/>
  <c r="X32" i="58"/>
  <c r="X28" i="58"/>
  <c r="V7" i="58"/>
  <c r="V68" i="58"/>
  <c r="T66" i="58"/>
  <c r="R64" i="58"/>
  <c r="W61" i="58"/>
  <c r="U59" i="58"/>
  <c r="R57" i="58"/>
  <c r="R54" i="58"/>
  <c r="X50" i="58"/>
  <c r="X47" i="58"/>
  <c r="X44" i="58"/>
  <c r="W41" i="58"/>
  <c r="W38" i="58"/>
  <c r="W35" i="58"/>
  <c r="V32" i="58"/>
  <c r="V28" i="58"/>
  <c r="U7" i="58"/>
  <c r="U68" i="58"/>
  <c r="S66" i="58"/>
  <c r="X63" i="58"/>
  <c r="V61" i="58"/>
  <c r="T59" i="58"/>
  <c r="X56" i="58"/>
  <c r="W53" i="58"/>
  <c r="W50" i="58"/>
  <c r="W47" i="58"/>
  <c r="V44" i="58"/>
  <c r="V41" i="58"/>
  <c r="V38" i="58"/>
  <c r="U35" i="58"/>
  <c r="U32" i="58"/>
  <c r="U9" i="58"/>
  <c r="W11" i="58"/>
  <c r="R14" i="58"/>
  <c r="T16" i="58"/>
  <c r="V18" i="58"/>
  <c r="X20" i="58"/>
  <c r="S23" i="58"/>
  <c r="U25" i="58"/>
  <c r="W27" i="58"/>
  <c r="V9" i="58"/>
  <c r="X11" i="58"/>
  <c r="S14" i="58"/>
  <c r="U16" i="58"/>
  <c r="W18" i="58"/>
  <c r="R21" i="58"/>
  <c r="T23" i="58"/>
  <c r="V25" i="58"/>
  <c r="X27" i="58"/>
  <c r="S30" i="58"/>
  <c r="W9" i="58"/>
  <c r="R12" i="58"/>
  <c r="T14" i="58"/>
  <c r="V16" i="58"/>
  <c r="R5" i="58"/>
  <c r="S7" i="58"/>
  <c r="S68" i="58"/>
  <c r="X65" i="58"/>
  <c r="V63" i="58"/>
  <c r="T61" i="58"/>
  <c r="R59" i="58"/>
  <c r="U56" i="58"/>
  <c r="U53" i="58"/>
  <c r="T50" i="58"/>
  <c r="T47" i="58"/>
  <c r="T44" i="58"/>
  <c r="S41" i="58"/>
  <c r="S38" i="58"/>
  <c r="S35" i="58"/>
  <c r="R32" i="58"/>
  <c r="T5" i="58"/>
  <c r="X6" i="58"/>
  <c r="R68" i="58"/>
  <c r="W65" i="58"/>
  <c r="U63" i="58"/>
  <c r="S61" i="58"/>
  <c r="X58" i="58"/>
  <c r="T56" i="58"/>
  <c r="S53" i="58"/>
  <c r="S50" i="58"/>
  <c r="S47" i="58"/>
  <c r="R44" i="58"/>
  <c r="R41" i="58"/>
  <c r="R38" i="58"/>
  <c r="X34" i="58"/>
  <c r="X31" i="58"/>
  <c r="V5" i="58"/>
  <c r="W6" i="58"/>
  <c r="X67" i="58"/>
  <c r="V65" i="58"/>
  <c r="T63" i="58"/>
  <c r="R61" i="58"/>
  <c r="W58" i="58"/>
  <c r="R56" i="58"/>
  <c r="R53" i="58"/>
  <c r="R50" i="58"/>
  <c r="X46" i="58"/>
  <c r="X43" i="58"/>
  <c r="X40" i="58"/>
  <c r="W37" i="58"/>
  <c r="W34" i="58"/>
  <c r="W31" i="58"/>
  <c r="R10" i="58"/>
  <c r="T12" i="58"/>
  <c r="V14" i="58"/>
  <c r="X16" i="58"/>
  <c r="S19" i="58"/>
  <c r="U21" i="58"/>
  <c r="W23" i="58"/>
  <c r="R26" i="58"/>
  <c r="T28" i="58"/>
  <c r="S10" i="58"/>
  <c r="U12" i="58"/>
  <c r="W14" i="58"/>
  <c r="R17" i="58"/>
  <c r="T19" i="58"/>
  <c r="V21" i="58"/>
  <c r="X23" i="58"/>
  <c r="S26" i="58"/>
  <c r="U28" i="58"/>
  <c r="W30" i="58"/>
  <c r="T10" i="58"/>
  <c r="V12" i="58"/>
  <c r="X14" i="58"/>
  <c r="S17" i="58"/>
  <c r="U19" i="58"/>
  <c r="W21" i="58"/>
  <c r="R24" i="58"/>
  <c r="T26" i="58"/>
  <c r="U10" i="58"/>
  <c r="W12" i="58"/>
  <c r="R15" i="58"/>
  <c r="T17" i="58"/>
  <c r="V19" i="58"/>
  <c r="X21" i="58"/>
  <c r="S24" i="58"/>
  <c r="U6" i="58"/>
  <c r="V67" i="58"/>
  <c r="T65" i="58"/>
  <c r="R63" i="58"/>
  <c r="W60" i="58"/>
  <c r="U58" i="58"/>
  <c r="W55" i="58"/>
  <c r="V52" i="58"/>
  <c r="V49" i="58"/>
  <c r="V46" i="58"/>
  <c r="U43" i="58"/>
  <c r="U40" i="58"/>
  <c r="U37" i="58"/>
  <c r="T34" i="58"/>
  <c r="S31" i="58"/>
  <c r="W5" i="58"/>
  <c r="T6" i="58"/>
  <c r="U67" i="58"/>
  <c r="S65" i="58"/>
  <c r="X62" i="58"/>
  <c r="V60" i="58"/>
  <c r="T58" i="58"/>
  <c r="U55" i="58"/>
  <c r="U52" i="58"/>
  <c r="U49" i="58"/>
  <c r="T46" i="58"/>
  <c r="T43" i="58"/>
  <c r="T40" i="58"/>
  <c r="S37" i="58"/>
  <c r="S34" i="58"/>
  <c r="X30" i="58"/>
  <c r="W8" i="58"/>
  <c r="S6" i="58"/>
  <c r="T67" i="58"/>
  <c r="R65" i="58"/>
  <c r="W62" i="58"/>
  <c r="U60" i="58"/>
  <c r="S58" i="58"/>
  <c r="T55" i="58"/>
  <c r="T52" i="58"/>
  <c r="S49" i="58"/>
  <c r="S46" i="58"/>
  <c r="S43" i="58"/>
  <c r="R40" i="58"/>
  <c r="R37" i="58"/>
  <c r="R34" i="58"/>
  <c r="V30" i="58"/>
  <c r="V10" i="58"/>
  <c r="X12" i="58"/>
  <c r="S15" i="58"/>
  <c r="U17" i="58"/>
  <c r="W19" i="58"/>
  <c r="R22" i="58"/>
  <c r="T24" i="58"/>
  <c r="V26" i="58"/>
  <c r="S5" i="58"/>
  <c r="W10" i="58"/>
  <c r="R13" i="58"/>
  <c r="T15" i="58"/>
  <c r="V17" i="58"/>
  <c r="X19" i="58"/>
  <c r="S22" i="58"/>
  <c r="U24" i="58"/>
  <c r="W26" i="58"/>
  <c r="R29" i="58"/>
  <c r="T31" i="58"/>
  <c r="X10" i="58"/>
  <c r="S13" i="58"/>
  <c r="U15" i="58"/>
  <c r="W17" i="58"/>
  <c r="R20" i="58"/>
  <c r="T22" i="58"/>
  <c r="V24" i="58"/>
  <c r="X26" i="58"/>
  <c r="R11" i="58"/>
  <c r="T13" i="58"/>
  <c r="V15" i="58"/>
  <c r="X17" i="58"/>
  <c r="S20" i="58"/>
  <c r="U22" i="58"/>
  <c r="W24" i="58"/>
  <c r="R27" i="58"/>
  <c r="T29" i="58"/>
  <c r="V31" i="58"/>
  <c r="R7" i="58"/>
  <c r="R67" i="58"/>
  <c r="W64" i="58"/>
  <c r="U62" i="58"/>
  <c r="S60" i="58"/>
  <c r="X57" i="58"/>
  <c r="X54" i="58"/>
  <c r="X51" i="58"/>
  <c r="X48" i="58"/>
  <c r="W45" i="58"/>
  <c r="W42" i="58"/>
  <c r="W39" i="58"/>
  <c r="V36" i="58"/>
  <c r="V33" i="58"/>
  <c r="R30" i="58"/>
  <c r="T8" i="58"/>
  <c r="R6" i="58"/>
  <c r="X66" i="58"/>
  <c r="V64" i="58"/>
  <c r="T62" i="58"/>
  <c r="R60" i="58"/>
  <c r="W57" i="58"/>
  <c r="W54" i="58"/>
  <c r="W51" i="58"/>
  <c r="V48" i="58"/>
  <c r="V45" i="58"/>
  <c r="V42" i="58"/>
  <c r="U39" i="58"/>
  <c r="U36" i="58"/>
  <c r="U33" i="58"/>
  <c r="W29" i="58"/>
  <c r="S8" i="58"/>
  <c r="W66" i="58"/>
  <c r="U64" i="58"/>
  <c r="S62" i="58"/>
  <c r="U51" i="58"/>
  <c r="T39" i="58"/>
  <c r="S11" i="58"/>
  <c r="T20" i="58"/>
  <c r="R9" i="58"/>
  <c r="S18" i="58"/>
  <c r="T27" i="58"/>
  <c r="W13" i="58"/>
  <c r="V20" i="58"/>
  <c r="S25" i="58"/>
  <c r="V11" i="58"/>
  <c r="S16" i="58"/>
  <c r="W20" i="58"/>
  <c r="T25" i="58"/>
  <c r="S28" i="58"/>
  <c r="R31" i="58"/>
  <c r="X33" i="58"/>
  <c r="S36" i="58"/>
  <c r="U38" i="58"/>
  <c r="W40" i="58"/>
  <c r="R43" i="58"/>
  <c r="T45" i="58"/>
  <c r="V47" i="58"/>
  <c r="X49" i="58"/>
  <c r="S52" i="58"/>
  <c r="U54" i="58"/>
  <c r="W56" i="58"/>
  <c r="X7" i="58"/>
  <c r="X68" i="58"/>
  <c r="V66" i="58"/>
  <c r="T64" i="58"/>
  <c r="R62" i="58"/>
  <c r="W59" i="58"/>
  <c r="U57" i="58"/>
  <c r="T54" i="58"/>
  <c r="T51" i="58"/>
  <c r="T48" i="58"/>
  <c r="S45" i="58"/>
  <c r="S42" i="58"/>
  <c r="S39" i="58"/>
  <c r="R36" i="58"/>
  <c r="R33" i="58"/>
  <c r="S29" i="58"/>
  <c r="X59" i="58"/>
  <c r="T11" i="58"/>
  <c r="V29" i="58"/>
  <c r="S21" i="58"/>
  <c r="S12" i="58"/>
  <c r="T21" i="58"/>
  <c r="W28" i="58"/>
  <c r="U34" i="58"/>
  <c r="R39" i="58"/>
  <c r="V43" i="58"/>
  <c r="U50" i="58"/>
  <c r="T57" i="58"/>
  <c r="T68" i="58"/>
  <c r="U61" i="58"/>
  <c r="V53" i="58"/>
  <c r="U44" i="58"/>
  <c r="T35" i="58"/>
  <c r="V57" i="58"/>
  <c r="U45" i="58"/>
  <c r="S33" i="58"/>
  <c r="W15" i="58"/>
  <c r="X24" i="58"/>
  <c r="V13" i="58"/>
  <c r="W22" i="58"/>
  <c r="S9" i="58"/>
  <c r="T18" i="58"/>
  <c r="X22" i="58"/>
  <c r="T9" i="58"/>
  <c r="X13" i="58"/>
  <c r="U18" i="58"/>
  <c r="R23" i="58"/>
  <c r="U26" i="58"/>
  <c r="X29" i="58"/>
  <c r="W32" i="58"/>
  <c r="R35" i="58"/>
  <c r="T37" i="58"/>
  <c r="V39" i="58"/>
  <c r="X41" i="58"/>
  <c r="S44" i="58"/>
  <c r="U46" i="58"/>
  <c r="W48" i="58"/>
  <c r="R51" i="58"/>
  <c r="T53" i="58"/>
  <c r="V55" i="58"/>
  <c r="V6" i="58"/>
  <c r="W67" i="58"/>
  <c r="U65" i="58"/>
  <c r="S63" i="58"/>
  <c r="X60" i="58"/>
  <c r="V58" i="58"/>
  <c r="X55" i="58"/>
  <c r="X52" i="58"/>
  <c r="W49" i="58"/>
  <c r="W46" i="58"/>
  <c r="W43" i="58"/>
  <c r="V40" i="58"/>
  <c r="V37" i="58"/>
  <c r="V34" i="58"/>
  <c r="U31" i="58"/>
  <c r="T36" i="58"/>
  <c r="X45" i="58"/>
  <c r="R55" i="58"/>
  <c r="R66" i="58"/>
  <c r="S59" i="58"/>
  <c r="V50" i="58"/>
  <c r="U41" i="58"/>
  <c r="T32" i="58"/>
  <c r="V54" i="58"/>
  <c r="T42" i="58"/>
  <c r="U29" i="58"/>
  <c r="R18" i="58"/>
  <c r="S27" i="58"/>
  <c r="X15" i="58"/>
  <c r="R25" i="58"/>
  <c r="U11" i="58"/>
  <c r="X18" i="58"/>
  <c r="U23" i="58"/>
  <c r="X9" i="58"/>
  <c r="U14" i="58"/>
  <c r="R19" i="58"/>
  <c r="V23" i="58"/>
  <c r="V27" i="58"/>
  <c r="U30" i="58"/>
  <c r="T33" i="58"/>
  <c r="V35" i="58"/>
  <c r="X37" i="58"/>
  <c r="S40" i="58"/>
  <c r="U42" i="58"/>
  <c r="W44" i="58"/>
  <c r="R47" i="58"/>
  <c r="T49" i="58"/>
  <c r="V51" i="58"/>
  <c r="X53" i="58"/>
  <c r="S56" i="58"/>
  <c r="V8" i="58"/>
  <c r="R8" i="58"/>
  <c r="S67" i="58"/>
  <c r="X64" i="58"/>
  <c r="V62" i="58"/>
  <c r="T60" i="58"/>
  <c r="R58" i="58"/>
  <c r="S55" i="58"/>
  <c r="R52" i="58"/>
  <c r="R49" i="58"/>
  <c r="R46" i="58"/>
  <c r="X42" i="58"/>
  <c r="X39" i="58"/>
  <c r="X36" i="58"/>
  <c r="W33" i="58"/>
  <c r="T30" i="58"/>
  <c r="U48" i="58"/>
  <c r="U13" i="58"/>
  <c r="V22" i="58"/>
  <c r="U20" i="58"/>
  <c r="R16" i="58"/>
  <c r="W25" i="58"/>
  <c r="W16" i="58"/>
  <c r="X25" i="58"/>
  <c r="S32" i="58"/>
  <c r="W36" i="58"/>
  <c r="T41" i="58"/>
  <c r="S48" i="58"/>
  <c r="W52" i="58"/>
  <c r="T7" i="58"/>
  <c r="W63" i="58"/>
  <c r="V56" i="58"/>
  <c r="U47" i="58"/>
  <c r="T38" i="58"/>
  <c r="U27" i="58"/>
  <c r="M4" i="58"/>
  <c r="W4" i="58"/>
  <c r="U5" i="58"/>
  <c r="X8" i="58"/>
  <c r="U8" i="58"/>
  <c r="I4" i="58"/>
  <c r="K4" i="58"/>
  <c r="L4" i="58"/>
  <c r="X5" i="58"/>
  <c r="X4" i="58"/>
</calcChain>
</file>

<file path=xl/sharedStrings.xml><?xml version="1.0" encoding="utf-8"?>
<sst xmlns="http://schemas.openxmlformats.org/spreadsheetml/2006/main" count="2526" uniqueCount="725">
  <si>
    <t>Volledig kunstgebit boven- en onderkaak</t>
  </si>
  <si>
    <t>Extra te berekenen bij volledig kunstgebit</t>
  </si>
  <si>
    <t>P36</t>
  </si>
  <si>
    <t>P14</t>
  </si>
  <si>
    <t>P37</t>
  </si>
  <si>
    <t>Individuele afdruk zonder randopbouw</t>
  </si>
  <si>
    <t>Individuele afdruk met randopbouw</t>
  </si>
  <si>
    <t>Frontopstelling in aparte zitting</t>
  </si>
  <si>
    <t>Overige</t>
  </si>
  <si>
    <t>P06</t>
  </si>
  <si>
    <t>Tissue conditioning volledig kunstgebit</t>
  </si>
  <si>
    <t>Opvullen volledig kunstgebit, indirect zonder randopbouw</t>
  </si>
  <si>
    <t>Opvullen volledig kunstgebit, indirect met randopbouw</t>
  </si>
  <si>
    <t>Reparatie volledig kunstgebit, zonder afdruk</t>
  </si>
  <si>
    <t>Reparatie volledig kunstgebit, met afdruk</t>
  </si>
  <si>
    <t>5 minuten tarief CBT Antonius</t>
  </si>
  <si>
    <t>Totaal</t>
  </si>
  <si>
    <t>Tarief</t>
  </si>
  <si>
    <t>Verbergen</t>
  </si>
  <si>
    <t>UPT tarief</t>
  </si>
  <si>
    <t>Tandtechniek- kosten</t>
  </si>
  <si>
    <t>Prestatie</t>
  </si>
  <si>
    <t>UPT code</t>
  </si>
  <si>
    <t>Volledig UPT tarief</t>
  </si>
  <si>
    <t>Wettelijke eigen bijdrage</t>
  </si>
  <si>
    <t>Geraamde tandtechniek- kosten</t>
  </si>
  <si>
    <t>Arbo- en milieutoeslag </t>
  </si>
  <si>
    <t xml:space="preserve">Aan huis bezorgen van patiënt, basisbedrag Naast het basisbedrag mag per gereden kilometer maximaal € 0,27 in rekening worden gebracht </t>
  </si>
  <si>
    <t xml:space="preserve">Bruikleen dentatus/gnathomat en vergelijkbaar </t>
  </si>
  <si>
    <t xml:space="preserve">Bruikleen etskit per element </t>
  </si>
  <si>
    <t xml:space="preserve">Foto in verband met kleur-/vormbepaling </t>
  </si>
  <si>
    <t xml:space="preserve">Foto/dia van studiemodellen </t>
  </si>
  <si>
    <t>Volle bovenprothese methode A </t>
  </si>
  <si>
    <t>Volle onderprothese methode A </t>
  </si>
  <si>
    <t>Volle boven en onderprothese methode A</t>
  </si>
  <si>
    <t>C Prothese</t>
  </si>
  <si>
    <t>Volle bovenprothese methode B </t>
  </si>
  <si>
    <t>Volle onderprothese methode B </t>
  </si>
  <si>
    <t xml:space="preserve">Volle boven en onderprothese methode B </t>
  </si>
  <si>
    <t xml:space="preserve">Bovenframe, alleen kiezen </t>
  </si>
  <si>
    <t xml:space="preserve">Bovenframe, tanden of tanden &amp; kiezen </t>
  </si>
  <si>
    <t>Onderframe, alleen kiezen </t>
  </si>
  <si>
    <t xml:space="preserve">Onderframe, tanden of tanden &amp; kiezen </t>
  </si>
  <si>
    <t>X831</t>
  </si>
  <si>
    <t>Twee magneten/drukknoppen</t>
  </si>
  <si>
    <t>Elke volgende magneet, drukknop</t>
  </si>
  <si>
    <t>Staaf tussen twee implantaten</t>
  </si>
  <si>
    <t>Elke volgende staaf tussen implantaten in dezelfde kaak</t>
  </si>
  <si>
    <t>f.</t>
  </si>
  <si>
    <t>Prothetische behandeling na klikgebit</t>
  </si>
  <si>
    <t>J57</t>
  </si>
  <si>
    <t>J58</t>
  </si>
  <si>
    <t>J59</t>
  </si>
  <si>
    <t>Omvorming klikgebit</t>
  </si>
  <si>
    <t>Omvorming klikgebit bij staven tussen 2 implantaten</t>
  </si>
  <si>
    <t>Omvorming klikgebit bij staven tussen 3 of 4 implantaten</t>
  </si>
  <si>
    <t>Omvorming klikgebit bij staven tussen meer dan 4 implantaten</t>
  </si>
  <si>
    <t>h.</t>
  </si>
  <si>
    <t>Prothetische nazorg</t>
  </si>
  <si>
    <t>Opvullen zonder staafdemontage</t>
  </si>
  <si>
    <t>Opvullen met staafdemontage op twee implantaten</t>
  </si>
  <si>
    <t>Opvullen met staafdemontage op 3 of 4 implantaten</t>
  </si>
  <si>
    <t>Opvullen met staafdemontage op meer dan 4 implantaten</t>
  </si>
  <si>
    <t>Reparatie zonder staafdemontage</t>
  </si>
  <si>
    <t>Reparatie met staafdemontage op twee implantaten</t>
  </si>
  <si>
    <t>Reparatie met staafdemontage op 3 of 4 implantaten</t>
  </si>
  <si>
    <t>Reparatie met staafdemontage op meer dan 4 implantaten</t>
  </si>
  <si>
    <t>Eigen bijdrage</t>
  </si>
  <si>
    <t>Toeslag vervangings- klikgebit op bestaande stegcontructie tussen meer dan 4 implantaten</t>
  </si>
  <si>
    <t>Toeslag vervangings- klikgebit op bestaande stegcontructie tussen 3 of 4 implantaten</t>
  </si>
  <si>
    <t>a.</t>
  </si>
  <si>
    <t>Volledig kunstgebit</t>
  </si>
  <si>
    <t>Volledig kunstgebit bovenkaak</t>
  </si>
  <si>
    <t>Volledig kunstgebit onderkaak</t>
  </si>
  <si>
    <t>Individuele lepel schellak </t>
  </si>
  <si>
    <t>Individuele ruime, geperforeerde schellak lepel </t>
  </si>
  <si>
    <t>Individuele lepel microform . Microform lepel, thermoplastische dieptreklepel voorzien van handvat of waswal </t>
  </si>
  <si>
    <t>Individuele lepel kunststof Kunststof lepel, poeder/vloeistoflepel of lichtuithardende lepel voorzien van handvat of waswal </t>
  </si>
  <si>
    <t>Individuele ruime, geperforeerde kunststof lepel </t>
  </si>
  <si>
    <t>Schreinmaker lepel </t>
  </si>
  <si>
    <t>Rimlock lepel </t>
  </si>
  <si>
    <t>Fluorapplicatie lepel </t>
  </si>
  <si>
    <t>Bleelepel </t>
  </si>
  <si>
    <t xml:space="preserve">Model uit individuele lepel; onbetand </t>
  </si>
  <si>
    <t xml:space="preserve">Model uit individuele lepel; betand </t>
  </si>
  <si>
    <t>Aanbrengen registratie apparatuur op beetplaat </t>
  </si>
  <si>
    <t xml:space="preserve">Relinen met was van kunststof lepel inclusief waswal </t>
  </si>
  <si>
    <t>Basisplaat voor opstelling </t>
  </si>
  <si>
    <t>Schellak beetplaat + waswal </t>
  </si>
  <si>
    <t>Te declareren techniekkosten bij de zorgverzekeraar</t>
  </si>
  <si>
    <t>Equivalent BT (5 minuten)</t>
  </si>
  <si>
    <t>Code</t>
  </si>
  <si>
    <t>Datum:</t>
  </si>
  <si>
    <t>Eigen bijdrages</t>
  </si>
  <si>
    <t>Implantaatgesteunde prothese</t>
  </si>
  <si>
    <t>Volledige prothese</t>
  </si>
  <si>
    <t>Aan te vragen behandeltijd (5 minuten)</t>
  </si>
  <si>
    <t>Max. te declareren behandeltijd (5 minuten) bij de zorgverzekeraar</t>
  </si>
  <si>
    <t>Volledige onder- en bovenprothese</t>
  </si>
  <si>
    <t>Volledige onderprothese</t>
  </si>
  <si>
    <t>Volledige bovenprothese</t>
  </si>
  <si>
    <t>Kengetallen</t>
  </si>
  <si>
    <t>J40</t>
  </si>
  <si>
    <t>J41</t>
  </si>
  <si>
    <t>J42</t>
  </si>
  <si>
    <t>J43</t>
  </si>
  <si>
    <t>J50</t>
  </si>
  <si>
    <t>J51</t>
  </si>
  <si>
    <t>J52</t>
  </si>
  <si>
    <t>J53</t>
  </si>
  <si>
    <t>J54</t>
  </si>
  <si>
    <t>J55</t>
  </si>
  <si>
    <t>J56</t>
  </si>
  <si>
    <t>J70</t>
  </si>
  <si>
    <t>J71</t>
  </si>
  <si>
    <t>J72</t>
  </si>
  <si>
    <t>J73</t>
  </si>
  <si>
    <t>J74</t>
  </si>
  <si>
    <t>J75</t>
  </si>
  <si>
    <t>J76</t>
  </si>
  <si>
    <t>J77</t>
  </si>
  <si>
    <t>P21</t>
  </si>
  <si>
    <t>P25</t>
  </si>
  <si>
    <t>P30</t>
  </si>
  <si>
    <t>P01</t>
  </si>
  <si>
    <t>P02</t>
  </si>
  <si>
    <t>P07</t>
  </si>
  <si>
    <t>P08</t>
  </si>
  <si>
    <t>Relining volledige onder- of bovenprothese</t>
  </si>
  <si>
    <t>Inhoudsopgave</t>
  </si>
  <si>
    <t>Max. acceptabele Techniekkosten</t>
  </si>
  <si>
    <t>CZ</t>
  </si>
  <si>
    <t>ZKZ Achmea</t>
  </si>
  <si>
    <t>Omschrijving</t>
  </si>
  <si>
    <t>Kosten</t>
  </si>
  <si>
    <t>Offerte. Te declareren in eenheden van U 5. Het bedrag per eenheid van 5 minuten is </t>
  </si>
  <si>
    <t xml:space="preserve">Ontwerp. Te declareren in eenheden van U 5. Het bedrag per eenheid van 5 minuten is </t>
  </si>
  <si>
    <t>Technisch advies/ondersteuning. Te declareren per uur met een maximum van U10 per uur. Het bedrag U10 is</t>
  </si>
  <si>
    <t>Kleurbepaling op laboratorium </t>
  </si>
  <si>
    <t>Desinfectie in opdracht van tandarts </t>
  </si>
  <si>
    <t>Verzendkosten/expeditiekosten </t>
  </si>
  <si>
    <t xml:space="preserve">Afmaken partiële prothese 5 - 13 elementen op metaalbasis </t>
  </si>
  <si>
    <t xml:space="preserve">Afmaken volledige prothese op metaalbasis </t>
  </si>
  <si>
    <t>Gevlochten draadversterking  </t>
  </si>
  <si>
    <t>Draadversterking  </t>
  </si>
  <si>
    <t>Knopanker  </t>
  </si>
  <si>
    <t>Draad-/steekanker  </t>
  </si>
  <si>
    <t>Kruisanker  </t>
  </si>
  <si>
    <t>Roach anker  </t>
  </si>
  <si>
    <t>Roach anker goud (inclusief Edelmetaal)  </t>
  </si>
  <si>
    <t>Occlusale steun  </t>
  </si>
  <si>
    <t xml:space="preserve">Gebogen baar (vrijliggend of ingesloten) </t>
  </si>
  <si>
    <t>Gaas-/draadversterking (kleiner dan 1/3 palatum)  </t>
  </si>
  <si>
    <t>Gaasversterking  </t>
  </si>
  <si>
    <t>Meerkleurig persen  </t>
  </si>
  <si>
    <t>Trasparant palatum  </t>
  </si>
  <si>
    <t xml:space="preserve">Toeslag monomeervrije kunststof (bijv. Luxene)  </t>
  </si>
  <si>
    <t xml:space="preserve">Naam inpersen </t>
  </si>
  <si>
    <t>Persen/gieten/injecteren niet afwerken  </t>
  </si>
  <si>
    <t>Afwerken na persen/gieten/injecteren  </t>
  </si>
  <si>
    <t>Overkappingsruimte in kunststof per element</t>
  </si>
  <si>
    <t xml:space="preserve">Meerprijs weekblijvende basis </t>
  </si>
  <si>
    <t>Volle kroon pd </t>
  </si>
  <si>
    <t xml:space="preserve">Volle kroon niet-edel </t>
  </si>
  <si>
    <t>Dummy pd </t>
  </si>
  <si>
    <t xml:space="preserve">Dummy niet-edel </t>
  </si>
  <si>
    <t xml:space="preserve">Inlay pd </t>
  </si>
  <si>
    <t>Opbakkroon pd </t>
  </si>
  <si>
    <t>Opbakkroon ag/pd </t>
  </si>
  <si>
    <t>Opbakkroon au/pd </t>
  </si>
  <si>
    <t>Opbakbrugdeel pd </t>
  </si>
  <si>
    <t>Opbakbrugdeel ag/pd </t>
  </si>
  <si>
    <t>Opbakburgdeel au/pd </t>
  </si>
  <si>
    <t xml:space="preserve">Maryland etsbrug + opgebakken porseleinen dummy </t>
  </si>
  <si>
    <t xml:space="preserve">Rochette etsbrug + opgebakken porseleinen dummy </t>
  </si>
  <si>
    <t xml:space="preserve">Gipsmodel  Gipsmodel, zijnde geen werkmodel (behalve voor individuele lepel). Zoals tegenbeet, voorlopig model, voorbeeld model etc. Gipssoort: klasse 1 of 2 </t>
  </si>
  <si>
    <t>Stonemodel </t>
  </si>
  <si>
    <t xml:space="preserve">Superhard gipsmodel Superhard gipsmodel. Model waarvan tenminste de tandboog is uitgegoten in stompenmateriaal. Gipssoort: klasse 4 </t>
  </si>
  <si>
    <t>Meegeleverd model trimmen</t>
  </si>
  <si>
    <t xml:space="preserve">Meegeleverd model van voet voorzien </t>
  </si>
  <si>
    <t>Duplicaatmodel (uit alginaat of gel) </t>
  </si>
  <si>
    <t>Precisie duplicaatmodel (uit siliconen) </t>
  </si>
  <si>
    <t>Model monteren in eenvoudige articulator</t>
  </si>
  <si>
    <t>Model monteren in middelwaard articulator, bijvoorbeeld Balance, Rational, Denatus, Condylator of vergelijkbaar type</t>
  </si>
  <si>
    <t xml:space="preserve">Model monteren in meervoudige instelbare articulator, bijvoorbeeld Denar, Panadent, Stuart of vergelijkbaar type </t>
  </si>
  <si>
    <t xml:space="preserve">Model monteren volgens intra orale registratie </t>
  </si>
  <si>
    <t xml:space="preserve">Model monteren met behulp van face-bow (meerwerk) </t>
  </si>
  <si>
    <t>Speekselkamer in prothese verwerken </t>
  </si>
  <si>
    <t>Montage slot in kunststof </t>
  </si>
  <si>
    <t xml:space="preserve">Montage stegdeel in kunststof </t>
  </si>
  <si>
    <t>Werkmodel </t>
  </si>
  <si>
    <t>Werkmodel in occlusie </t>
  </si>
  <si>
    <t>Stonemodellen in occlusie </t>
  </si>
  <si>
    <t>Meegeleverd model trimmen </t>
  </si>
  <si>
    <t xml:space="preserve">Studiemodel, eenvoudig per stuk (ongemodelleerd) </t>
  </si>
  <si>
    <t xml:space="preserve">Studiemodel, eenvoudig per stel (ongemodelleerd) </t>
  </si>
  <si>
    <t>Studiemodel, ongezeept per stuk </t>
  </si>
  <si>
    <t xml:space="preserve">Studiemodel, ongezeept per stuk in occlusie </t>
  </si>
  <si>
    <t>Studiemodel, gezeept per stuk </t>
  </si>
  <si>
    <t xml:space="preserve">Studiemodel, gezeept per stuk in occlusie </t>
  </si>
  <si>
    <t>Kastmodellen (super toonmodel) </t>
  </si>
  <si>
    <t>Dupliceren per model </t>
  </si>
  <si>
    <t xml:space="preserve">Inzagen band </t>
  </si>
  <si>
    <t>Set-up </t>
  </si>
  <si>
    <t>Set-up per element</t>
  </si>
  <si>
    <t xml:space="preserve">Set-up osteotomie patiënt </t>
  </si>
  <si>
    <t xml:space="preserve">Aanpassen reeds bestaande set-up </t>
  </si>
  <si>
    <t>Tooth-positioner </t>
  </si>
  <si>
    <t>Seating spring </t>
  </si>
  <si>
    <t>Socket liners </t>
  </si>
  <si>
    <t xml:space="preserve">Varsity guard </t>
  </si>
  <si>
    <t xml:space="preserve">Waswal aanbrengen op metaal- of kunststofbasis </t>
  </si>
  <si>
    <t>Opstellen partiële prothese 1 - 4 element(en) </t>
  </si>
  <si>
    <t>Opstellen partiële prothese 5 - 13 elementen </t>
  </si>
  <si>
    <t>Opstellen volledige prothese </t>
  </si>
  <si>
    <t xml:space="preserve">Opstellen partiële prothese 1 - 4 element(en) op metaalbasis </t>
  </si>
  <si>
    <t xml:space="preserve">Opstellen partiële prothese 5 - 13 elementen op metaalbasis </t>
  </si>
  <si>
    <t xml:space="preserve">Opstellen volledige prothese op metaalbasis </t>
  </si>
  <si>
    <t>Opstellen naar model </t>
  </si>
  <si>
    <t>Opstellen naar foto </t>
  </si>
  <si>
    <t xml:space="preserve">Kleur//Model var. frontelementen (per onder of boven) </t>
  </si>
  <si>
    <t xml:space="preserve">Meerprijs opstellen volgens bijzondere methode Extra voor opstellen volgens Flögel, Gerber, lingualised occlusion. Eenmaal in rekening te brengen. </t>
  </si>
  <si>
    <t>Immediaat per element (tot maximaal 6 elementen per kaak)</t>
  </si>
  <si>
    <t>Individuele modellatie (per boven of onder) . Volledige individueel gemodelleerde prothese volgens specifieke wensen patiënt</t>
  </si>
  <si>
    <t>Beslijpen kunststof basis </t>
  </si>
  <si>
    <t xml:space="preserve">Verwerken meegeleverde tanden per stel </t>
  </si>
  <si>
    <t>Verwerken meegeleverde kiezen per stel</t>
  </si>
  <si>
    <t>Opnieuw opstellen</t>
  </si>
  <si>
    <t xml:space="preserve">Afmaken partiële prothese 1 - 4 element(en) </t>
  </si>
  <si>
    <t>Afmaken partiële prothese 5 - 13 elementen </t>
  </si>
  <si>
    <t>Afmaken volledige prothese </t>
  </si>
  <si>
    <t xml:space="preserve">Afmaken partiële prothese 1 - 4 element(en) op metaalbasis </t>
  </si>
  <si>
    <t xml:space="preserve">Boogschroef volgens Muller </t>
  </si>
  <si>
    <t xml:space="preserve">Ritter/picoloschroef </t>
  </si>
  <si>
    <t xml:space="preserve">Sutuur exp.app. Inclusief Hyraxschroef, exclusief Banden </t>
  </si>
  <si>
    <t xml:space="preserve">Sutuur exp.app. met kunstharsdelen, exclusief Banden </t>
  </si>
  <si>
    <t>Reparatie basistarief </t>
  </si>
  <si>
    <t>Herbst appliance </t>
  </si>
  <si>
    <t xml:space="preserve">Schisisplaat, passief </t>
  </si>
  <si>
    <t>Schisiplaat, actief </t>
  </si>
  <si>
    <t xml:space="preserve">Spring retainer standaard </t>
  </si>
  <si>
    <t xml:space="preserve">Spring retainer inclusief set-up </t>
  </si>
  <si>
    <t>Indirect bonding per element </t>
  </si>
  <si>
    <t xml:space="preserve">Standaard band (exclusief attachement) </t>
  </si>
  <si>
    <t>Standaard premolaarband </t>
  </si>
  <si>
    <t>Quad-helix, exclusief banden </t>
  </si>
  <si>
    <t>Palatinale bar gesoldeerd </t>
  </si>
  <si>
    <t xml:space="preserve">Goshqarian bar exclusief banden </t>
  </si>
  <si>
    <t xml:space="preserve">Linguale boog exclusief banden </t>
  </si>
  <si>
    <t xml:space="preserve">Lipbumper exclusief banden </t>
  </si>
  <si>
    <t>Lipbumper met individuele kunstharschild (exclusief banden)</t>
  </si>
  <si>
    <t xml:space="preserve">Headgear/face bow </t>
  </si>
  <si>
    <t xml:space="preserve">Basisapparaat voor boven- of onderkaak </t>
  </si>
  <si>
    <t>Reoccluderen + inslijpen per boven of onder, modellen na persen terugplaatsen  </t>
  </si>
  <si>
    <t>Reoccluderen + inslijpen partieel, modellen na persen  terugplaatsen  </t>
  </si>
  <si>
    <t>Basistarief</t>
  </si>
  <si>
    <t>Herstellen kleine scheur</t>
  </si>
  <si>
    <t>Herstellen grote scheur/breuk</t>
  </si>
  <si>
    <t>Vastzetten element/anker</t>
  </si>
  <si>
    <t>Vernieuwen element/anker</t>
  </si>
  <si>
    <t>Uitbreiden element/anker</t>
  </si>
  <si>
    <t>Immediaat per element</t>
  </si>
  <si>
    <t>Uitbreiding groot palatum</t>
  </si>
  <si>
    <t>Herstellen zadel per sectie</t>
  </si>
  <si>
    <t>Prothese reinigen</t>
  </si>
  <si>
    <t>A-lijn aanpersen</t>
  </si>
  <si>
    <t>Rand aan prothese persen</t>
  </si>
  <si>
    <t>Overzetting 1 -4 element(en)</t>
  </si>
  <si>
    <t xml:space="preserve">Overzetting 5 - 13 elementen </t>
  </si>
  <si>
    <t>Overzetting vol</t>
  </si>
  <si>
    <t>Rebasing</t>
  </si>
  <si>
    <t xml:space="preserve">Rebasing met randcorrectie. </t>
  </si>
  <si>
    <t>Miniplastschiene </t>
  </si>
  <si>
    <t>Drumschiene </t>
  </si>
  <si>
    <t>Gebitsbeschermer </t>
  </si>
  <si>
    <t xml:space="preserve">Gebitsbeschermer uit verschillende lagen kunststof; hard en zacht </t>
  </si>
  <si>
    <t xml:space="preserve">Ingebeten onderfront </t>
  </si>
  <si>
    <t>Repositie/stbilisatie/relaxatie splint. Splinten (exclusief klammers): in articulator gemodelleerde, warm gepolymeriseerde transparante splint welke na het persen teruggeplaatst wordt in de articulator, ingeslepen wordt en (eventueel op duplicaatmodel) afgewerkt en op hoogglans gepolijst wordt </t>
  </si>
  <si>
    <t>Holle klos. Te declareren per uur met een maximum van U10 per uur. Het bedrag U10 is </t>
  </si>
  <si>
    <t xml:space="preserve">Meerprijs ieder anker in combinatie met kronen Combinatie met kronen betreft ankers bestemd voor gefreesde verankeringen </t>
  </si>
  <si>
    <t>Metalen tuber versterking </t>
  </si>
  <si>
    <t xml:space="preserve">Een gegoten metalen tuberversterking welke in de kunststof geperst wordt teneinde ter plaatse breuk te voorkomen. Gegoten 3/4 anker </t>
  </si>
  <si>
    <t>Badvergulden fram</t>
  </si>
  <si>
    <t>Zadels vergulden (per zadel)</t>
  </si>
  <si>
    <t>Badvergulden 1 anker</t>
  </si>
  <si>
    <t>Badvergulden volgend anker</t>
  </si>
  <si>
    <t>Vergulden per anker, opgesoldeerd inclusief edelmetaal</t>
  </si>
  <si>
    <t xml:space="preserve">Soldeerplaats (eerste) exclusief soldeer </t>
  </si>
  <si>
    <t xml:space="preserve">Soldeerplaats (ieder volgende) exclusief soldeer </t>
  </si>
  <si>
    <t>Extensie aan bestaand frame (eerste) </t>
  </si>
  <si>
    <t xml:space="preserve">Extensie aan bestaand frame (ieder volgende) </t>
  </si>
  <si>
    <t xml:space="preserve">Lasersoldering </t>
  </si>
  <si>
    <t xml:space="preserve">Montage slot aan frame </t>
  </si>
  <si>
    <t xml:space="preserve">Montage stegdeel aan frame </t>
  </si>
  <si>
    <t>Montage kroon aan frame</t>
  </si>
  <si>
    <t>Basisplaat </t>
  </si>
  <si>
    <t>Enkelarmig draaddeel</t>
  </si>
  <si>
    <t>Dubbelarmig draaddeel </t>
  </si>
  <si>
    <t xml:space="preserve">Gecompliceerde labiaalboog </t>
  </si>
  <si>
    <t xml:space="preserve">Labiaalboog met transparante kunsthars </t>
  </si>
  <si>
    <t>Headgear tubes gemonteerd </t>
  </si>
  <si>
    <t xml:space="preserve">Opbeet </t>
  </si>
  <si>
    <t>Beetverhoging zijdelingse delen </t>
  </si>
  <si>
    <t xml:space="preserve">Voorbeet schuinvlak in relatie tot onderfront </t>
  </si>
  <si>
    <t xml:space="preserve">Oral screen </t>
  </si>
  <si>
    <t>Activator standaard (monoblok) </t>
  </si>
  <si>
    <t>Activator standaard met luchtgaten </t>
  </si>
  <si>
    <t xml:space="preserve">Standaard activator open met overkapt onderfront </t>
  </si>
  <si>
    <t>Teuscher activator </t>
  </si>
  <si>
    <t>Bionator </t>
  </si>
  <si>
    <t>Headgear activator volgens Van Beek </t>
  </si>
  <si>
    <t>Bimler activator </t>
  </si>
  <si>
    <t>Open activator (Harvold) </t>
  </si>
  <si>
    <t>Combi activator V.A. EVVA </t>
  </si>
  <si>
    <t>Fränkel activator nr 1 t/m 4 </t>
  </si>
  <si>
    <t>T-appliance </t>
  </si>
  <si>
    <t>O.T.appliance </t>
  </si>
  <si>
    <t>Lehmann activator basis </t>
  </si>
  <si>
    <t>Lehmann activatorwerking </t>
  </si>
  <si>
    <t>Ducovator </t>
  </si>
  <si>
    <t xml:space="preserve">GG jumper </t>
  </si>
  <si>
    <t>C-C retainer </t>
  </si>
  <si>
    <t xml:space="preserve">Siliconen fixatiemal (meerprijs) </t>
  </si>
  <si>
    <t>Dieptrek fixatiemal (meerprijs) </t>
  </si>
  <si>
    <t xml:space="preserve">Space retainer inclusief Molaarband </t>
  </si>
  <si>
    <t xml:space="preserve">Space maintainer inclusief Molaarband </t>
  </si>
  <si>
    <t xml:space="preserve">Invisible retainer / clear overlay </t>
  </si>
  <si>
    <t xml:space="preserve">Standaard exp. Schroef </t>
  </si>
  <si>
    <t xml:space="preserve">Waaierschroef twee-delig </t>
  </si>
  <si>
    <t>Microschroef </t>
  </si>
  <si>
    <t>Open schroef</t>
  </si>
  <si>
    <t xml:space="preserve">Sectorenschroef bk. "Bertoni" </t>
  </si>
  <si>
    <t xml:space="preserve">Hellerschroef </t>
  </si>
  <si>
    <t xml:space="preserve">Reciprokeschroef </t>
  </si>
  <si>
    <t>Occlusale steun/extensie; alleen ten behoeve van nieuwe kroon</t>
  </si>
  <si>
    <t xml:space="preserve">Gemodelleerd slot (inclusief nafrezen) </t>
  </si>
  <si>
    <t>Kroon voor opbakporselein/kunststof, in combinatie met 5211 of 5401</t>
  </si>
  <si>
    <t>Stiftkroon voor opbakporselein/kunsstof, i.c.m. 5211 of 5401</t>
  </si>
  <si>
    <t>Brugdeel voor opbakporselein/kunststof, i.c.m. 5213 of 5403</t>
  </si>
  <si>
    <t xml:space="preserve">Deckgold extra per deel </t>
  </si>
  <si>
    <t>Etsbrugvleugel/parospalkdeel </t>
  </si>
  <si>
    <t>Perforeren etsbrugvleugel </t>
  </si>
  <si>
    <t>Etsbrugdummy voor opbakken/kunststof, in combinatie met 5412</t>
  </si>
  <si>
    <t>Vertinnen/Etsen; per werkstuk </t>
  </si>
  <si>
    <t xml:space="preserve">Silaniseren/opaqueren, per werkstuk </t>
  </si>
  <si>
    <t xml:space="preserve">Vergulden per deel (inclusief goud) </t>
  </si>
  <si>
    <t>Frezen per deel </t>
  </si>
  <si>
    <t xml:space="preserve">Steg frezen per millimeter </t>
  </si>
  <si>
    <t xml:space="preserve">Uitzuren kroon/brugwerk; per werkstuk </t>
  </si>
  <si>
    <t>Soldeer-/verbindingsplaats </t>
  </si>
  <si>
    <t>Ovensoldeerplaats </t>
  </si>
  <si>
    <t>Lasersoldering </t>
  </si>
  <si>
    <t>Extra draaddeel per stuk </t>
  </si>
  <si>
    <t xml:space="preserve">Reparatie draaddeel Crozat </t>
  </si>
  <si>
    <t xml:space="preserve">Gipsmodel Gipsmodel, zijnde geen werkmodel (behalve voor individuele lepel) Zoals tegenbeet, voorlopig model, voorbeeld model, etc. Gipssoort klasse: 1 of 2 </t>
  </si>
  <si>
    <t>Stonemodel Stonemodel, werkmodel geschikt om werkstuk op te persen. Gipssoort klasse: 2 of 3 </t>
  </si>
  <si>
    <t>Superhard gipsmodel Superhard gipsmodel. Model waarin tenminste de tandboog is uitgegoten in stompenmeteriaal. Gipssoort: klasse 4 </t>
  </si>
  <si>
    <t>Meegeleverd model van voet voorzien </t>
  </si>
  <si>
    <t>Model monteren in eenvoudige articulator </t>
  </si>
  <si>
    <t>Model monteren in middelwaarde articulator, bijv Balance, Rational, Dentatus, Condylator of vergelijkbaar type </t>
  </si>
  <si>
    <t>Model monteren in meervoudig instelbare atriculator, bijv Denar, Panadent, Stuart of vergelijkbaar type </t>
  </si>
  <si>
    <t>Model monteren volgens intra orale registratie </t>
  </si>
  <si>
    <t>Bovenframe alleen kiezen </t>
  </si>
  <si>
    <t>Bovenframe tanden of tanden &amp; kiezen </t>
  </si>
  <si>
    <t>Onderframe alleen kiezen </t>
  </si>
  <si>
    <t>Onderframe tanden of tanden &amp; kiezen </t>
  </si>
  <si>
    <t>Volle plaat / metalen basisplaat ter versterking</t>
  </si>
  <si>
    <t>Backing frontelement </t>
  </si>
  <si>
    <t>Kauwvlak </t>
  </si>
  <si>
    <t>Dummy, massief of met venster voor kunsstof </t>
  </si>
  <si>
    <t xml:space="preserve">Kleur veranderen. Te declareren per uur met een maximum van U10 per uur. Het bedrag U10 is </t>
  </si>
  <si>
    <t xml:space="preserve">Superhard gipsmodel </t>
  </si>
  <si>
    <t xml:space="preserve">Proefopstelling per element </t>
  </si>
  <si>
    <t xml:space="preserve">Proefwasmodellatie per element </t>
  </si>
  <si>
    <t>Kunstharslepel ten behoeve van implantaat</t>
  </si>
  <si>
    <t>Richtstift ten behoeve kunststofplaat per stuk </t>
  </si>
  <si>
    <t>Verschroefbare kunststof lepel met beetwal . Kunststof lepel met beetwal (Met daarin gemonteerde implantaat onderdelen) die vstgeschroef kan worden op implantaten.</t>
  </si>
  <si>
    <t xml:space="preserve">Hulpdelen plaatsen in afdruk, per stuk </t>
  </si>
  <si>
    <t>Precisie duplicaatmodel </t>
  </si>
  <si>
    <t>Stonemodel uit kunststof implantaat lepel </t>
  </si>
  <si>
    <t>Model monteren in middelwaarde articulator </t>
  </si>
  <si>
    <t>Model monteren in meervoudig instelbare articulator</t>
  </si>
  <si>
    <t xml:space="preserve">Opst./persen/gieten/inject./afwerken op suprastructuur </t>
  </si>
  <si>
    <t>Gipsmodel Gipsmodel, zijnde geen werkmodel (behalve voor individuele lepel) Zoals tegenbeet, voorlopig model, voorbeeld model, etc. Gipssoort klasse: 1 of 2 </t>
  </si>
  <si>
    <t>Stonemodel, tegenmodel voor kroon- en brugwerk </t>
  </si>
  <si>
    <t>Superhard gipsmodel Superhard gipsmodel. Model waarin tenminste de tandboog is uitgegoten in stompenmeteriaal. Gipssoort: klasse 4 Meegeleverd model trimmen </t>
  </si>
  <si>
    <t>Zaagmodel </t>
  </si>
  <si>
    <t>Stomp </t>
  </si>
  <si>
    <t>Vuurvaste stomp </t>
  </si>
  <si>
    <t>Stompen inkerven </t>
  </si>
  <si>
    <t xml:space="preserve">Model uit individuele lepel betand </t>
  </si>
  <si>
    <t xml:space="preserve">Stomp terugplaatsen in afdruk </t>
  </si>
  <si>
    <t xml:space="preserve">Soft-tissue model (inclusief materiaal) </t>
  </si>
  <si>
    <t>Opbouw direct </t>
  </si>
  <si>
    <t>Opbouw indirect </t>
  </si>
  <si>
    <t>Wortelkap met stift (bijv Richmondkap)</t>
  </si>
  <si>
    <t>Fixatie/slijpkap </t>
  </si>
  <si>
    <t>Telescoopkap/conuskap </t>
  </si>
  <si>
    <t>Opbouw met nasteekbare stift </t>
  </si>
  <si>
    <t>Opbouw onder bestaande kroon </t>
  </si>
  <si>
    <t>Directe inlay niet afgewerkt </t>
  </si>
  <si>
    <t>Directe inlay afgewerkt </t>
  </si>
  <si>
    <t>Indirecte inlay </t>
  </si>
  <si>
    <t>Pinledge inlay </t>
  </si>
  <si>
    <t xml:space="preserve">Inlay aan opgebakken brugdeel (inclusief solderen) </t>
  </si>
  <si>
    <t>Inlay in prothese element</t>
  </si>
  <si>
    <t>Partiële omslijping</t>
  </si>
  <si>
    <t>Kroon </t>
  </si>
  <si>
    <t>Stiftkroon </t>
  </si>
  <si>
    <t>Telescoopkroon/conuskroon </t>
  </si>
  <si>
    <t>Kroon aan opgebakken brugdeel (inclusief solderen) </t>
  </si>
  <si>
    <t>Pinledge kroon </t>
  </si>
  <si>
    <t>Toeslag kroon onder bestaand frame-anker </t>
  </si>
  <si>
    <t>Dummy massief </t>
  </si>
  <si>
    <t xml:space="preserve">Edele legeringen Au percentage lager dan 10% </t>
  </si>
  <si>
    <t xml:space="preserve">Edele legeringen Au percentages van 10% tot 25% </t>
  </si>
  <si>
    <t xml:space="preserve">Edele legeringen Au percentages van 25% tot 50% </t>
  </si>
  <si>
    <t xml:space="preserve">Edele legeringen Au percentages van 50% tot 60% </t>
  </si>
  <si>
    <t xml:space="preserve">Edele legeringen Au percentages van 60% tot 70% </t>
  </si>
  <si>
    <t xml:space="preserve">Edele legeringen Au percentages van 70% tot 80% </t>
  </si>
  <si>
    <t xml:space="preserve">Edele legeringen Au percentages boven 80% </t>
  </si>
  <si>
    <t xml:space="preserve">Diverse materialen </t>
  </si>
  <si>
    <t>Schroef tbv steg</t>
  </si>
  <si>
    <t>Modelanaloog (steg)</t>
  </si>
  <si>
    <t>Afdrukhulpdeel (steg)</t>
  </si>
  <si>
    <t>Modelanaloog (drukknop)</t>
  </si>
  <si>
    <t>Ruiter per mm</t>
  </si>
  <si>
    <t>Afdrukhulpdeel (drukknop)</t>
  </si>
  <si>
    <t>Drukknopmatrix</t>
  </si>
  <si>
    <t>Drukknopabutment</t>
  </si>
  <si>
    <t>Gefreesde steg op 2 impl</t>
  </si>
  <si>
    <t>Meerprijs gefreesde steg op 3 impl</t>
  </si>
  <si>
    <t>Meerprijs gefreesde steg op 4 impl</t>
  </si>
  <si>
    <t>Meerprijs gefreesde steg per deel</t>
  </si>
  <si>
    <t>Harden metaal </t>
  </si>
  <si>
    <t xml:space="preserve">Monteren/stellen sloten met behulp van parallellometer </t>
  </si>
  <si>
    <t xml:space="preserve">Raderen per element </t>
  </si>
  <si>
    <t>Vol porseleinen frontkroon ( onder andere jacket) </t>
  </si>
  <si>
    <t xml:space="preserve">Vol porseleinen pré-/molaar kroon </t>
  </si>
  <si>
    <t>Vol porseleinen front brugdeel </t>
  </si>
  <si>
    <t xml:space="preserve">Vol porseleinen kroon op gesinterde kap </t>
  </si>
  <si>
    <t xml:space="preserve">Vol porseleinen brugdeel op gesinterde kap </t>
  </si>
  <si>
    <t xml:space="preserve">Porseleinen facing (exclusief etsen) </t>
  </si>
  <si>
    <t xml:space="preserve">Porseleinen inlay/onlay </t>
  </si>
  <si>
    <t>Kunststof venster </t>
  </si>
  <si>
    <t>Kunststof kroon op metaalskelet, in combinatie met 4401 of 4402</t>
  </si>
  <si>
    <t xml:space="preserve">Kunststof brugdeel op metaalskelet, in combinatie met 4403 </t>
  </si>
  <si>
    <t>Kunststof kroon </t>
  </si>
  <si>
    <t>Kunststof inlay </t>
  </si>
  <si>
    <t>Kunststof noodkroon/-brug per deel (inclusief kap) </t>
  </si>
  <si>
    <t xml:space="preserve">Kunststof element in prothese ( individueel gemodelleerd) </t>
  </si>
  <si>
    <t>Porseleinen voor opbakkroon, in combinatie met 4401 of 4402</t>
  </si>
  <si>
    <t>Porseleinen voor opbakbrugdeel, in combinatie met 4403</t>
  </si>
  <si>
    <t xml:space="preserve">Opbakporselein voor etsbrugdummy, in combinatie met 4503 </t>
  </si>
  <si>
    <t xml:space="preserve">Toeslag voor schouderporselein </t>
  </si>
  <si>
    <t>Aanbrengen kleurkarakterisering per element </t>
  </si>
  <si>
    <t xml:space="preserve">Toeslag modelleren porseleinen voor bestaand frame anker </t>
  </si>
  <si>
    <t xml:space="preserve">Opbakporselein op frame per deel </t>
  </si>
  <si>
    <t xml:space="preserve">Etsen per porseleinen deel </t>
  </si>
  <si>
    <t>Bijbakken. Te declareren per uur met een maximum van U10 per uur. Het bedrag U10 is </t>
  </si>
  <si>
    <t>Volledige prothese bovenkaak op 6 impl / 2 x 2 steggen ( incl. evt. distale extensies) (excl. evt. intraorale reg.)</t>
  </si>
  <si>
    <t>Volledige prothese bovenkaak op 4 impl / 2 x 1 Steggen ( incl. evt. distale extensies) (excl. evt. intraorale reg.)</t>
  </si>
  <si>
    <t>Volledige prothese bovenkaak conventioneel en onderkaak op 4 impl / 3 steggen ( incl. evt. distale extensies) (excl. evt. intraorale reg.)</t>
  </si>
  <si>
    <t>Volledige prothese bovenkaak conventioneel en onderkaak op 3 impl / 2 steggen ( incl. evt. distale extensies) (excl. evt. intraorale reg.)</t>
  </si>
  <si>
    <t>Volledige prothese bovenkaak conventioneel en onderkaak op 2 impl / 1 steg (incl. evt. distale extensies) (excl. evt. intraorale reg.)</t>
  </si>
  <si>
    <t>Volledige prothese onderkaak op 4 impl / 4 drukknoppen (excl. evt. intraorale reg.)</t>
  </si>
  <si>
    <t>Surgical guide/boorplaat </t>
  </si>
  <si>
    <t xml:space="preserve">Röntgendiagnoseplaat (inclusief kogeltjes) </t>
  </si>
  <si>
    <t xml:space="preserve">Röntgendiagnoseplaat ten behoeve van CT scan Als 6201 echter dan voorzien van 8 tot 12 metaalloze lasdraden </t>
  </si>
  <si>
    <t>Confectie opbouw bewerken </t>
  </si>
  <si>
    <t xml:space="preserve">Implantaatopbouw (gegoten) </t>
  </si>
  <si>
    <t xml:space="preserve">Implantaatkroon verschroefbaar (vol metaal) </t>
  </si>
  <si>
    <t xml:space="preserve">Dummy (massief) </t>
  </si>
  <si>
    <t>Brugdeel voor opbakken, zie 4403 echter in combinatie met verschroefbare brugdelen </t>
  </si>
  <si>
    <t>Implanteren kroon verschroefbaar voor opbakken, solitaire verschroefbare kroon</t>
  </si>
  <si>
    <t xml:space="preserve">Implanteren brugdeel verschroefbaar voor opbakken </t>
  </si>
  <si>
    <t>Porselein aanbrengen op kroon </t>
  </si>
  <si>
    <t>Porselein aanbrengen op brugdeel </t>
  </si>
  <si>
    <t xml:space="preserve">Implantaat toeslag; eenmalig per werkstuk per implantaat </t>
  </si>
  <si>
    <t xml:space="preserve">Soldeerplaats (volgende) exclusief soldeer </t>
  </si>
  <si>
    <t xml:space="preserve">Stellen slot met behulp van parallellometer </t>
  </si>
  <si>
    <t xml:space="preserve">Monteren slot/steg aan impl. slot </t>
  </si>
  <si>
    <t>Front elementen (Porcelelein front elementen sets (6st))</t>
  </si>
  <si>
    <t>Kiezen (Porceleinen kiezen per stuk)</t>
  </si>
  <si>
    <t>Kiezen (Porseleinen kiezen sets (8st))</t>
  </si>
  <si>
    <t>Tanden (Proselein fornt element per stuk)</t>
  </si>
  <si>
    <t>Tanden (Kunststof front elementen sets (6st))</t>
  </si>
  <si>
    <t>Kiezen (Kunststof kiezen per set (8st))</t>
  </si>
  <si>
    <t>Tanden (Kunststof front elementen per stuk)</t>
  </si>
  <si>
    <t>Kiezen (Kunststof kiezen per stuk)</t>
  </si>
  <si>
    <t>Onedele legeringen </t>
  </si>
  <si>
    <t>Eerste twee drukknoppen (daadwerkelijke kosten met maximum van)</t>
  </si>
  <si>
    <t>Extra (indien van toepassing): Reparatie/vervangen ruiters voor elke extra steg of stegdeel incl eventuele extensies</t>
  </si>
  <si>
    <t>Extra (indien van toepassing): Reparatie/vervangen ruiter bij 2 impl / steg incl eventuele extensies</t>
  </si>
  <si>
    <t>Extra (indien van toepassing): Reparatie/vervangen matrix per drukknop (daadwerkelijk kosten met maximum van)</t>
  </si>
  <si>
    <t>Rebasen op 6 impl / steg</t>
  </si>
  <si>
    <t>Rebasen op 4 impl / steg</t>
  </si>
  <si>
    <t>Rebasen op 3 impl / steg</t>
  </si>
  <si>
    <t>Rebasen op 2 impl / steg</t>
  </si>
  <si>
    <t xml:space="preserve">Rebasen op 6 impl / drukknoppen </t>
  </si>
  <si>
    <t>Rebasen op 4 impl / drukknoppen</t>
  </si>
  <si>
    <t>Rebasen op 3 impl / drukknoppen</t>
  </si>
  <si>
    <t>Rebasen op 2 impl / drukknoppen</t>
  </si>
  <si>
    <t>Subtotaal</t>
  </si>
  <si>
    <t>Aantal</t>
  </si>
  <si>
    <t>Extra (indien van toepassing): Metalen tuber versterking</t>
  </si>
  <si>
    <t>Extra (indien van toepassing): Metalen basisplaat ter versterking</t>
  </si>
  <si>
    <t>Extra (indien van toepassing): Overkapping per element</t>
  </si>
  <si>
    <t>Extra (indien van toepassing): Weekblijvende basis</t>
  </si>
  <si>
    <t>Extra (indien van toepassing): Intra orale registratie (alleen voor volledige prothese boven- en onderkaak)</t>
  </si>
  <si>
    <t>P17</t>
  </si>
  <si>
    <t>Volledige prothese onderkaak</t>
  </si>
  <si>
    <t>Volledige prothese bovenkaak</t>
  </si>
  <si>
    <t>Volledige prothese boven- en onderkaak</t>
  </si>
  <si>
    <t>Extra: Per immediaat element met max van 6 per kaak</t>
  </si>
  <si>
    <t>V</t>
  </si>
  <si>
    <t>Noodprothese volledig onder</t>
  </si>
  <si>
    <t>P45</t>
  </si>
  <si>
    <t>Noodprothese volledig boven</t>
  </si>
  <si>
    <t>Noodprothese volledig boven- en onderkaak</t>
  </si>
  <si>
    <t>P45 2x</t>
  </si>
  <si>
    <t>Volledig immediaat onderkaak</t>
  </si>
  <si>
    <t>Volledig immediaat bovenkaak</t>
  </si>
  <si>
    <t>Volledig immediaat boven- en onderkaak</t>
  </si>
  <si>
    <t>Extra (indien van toepassing): Intra orale registratie</t>
  </si>
  <si>
    <t>Volledige prothese onderkaak op 4 impl / 3 steggen ( incl. evt. distale extensies) (excl. evt. intraorale reg.)</t>
  </si>
  <si>
    <t>Volledige prothese onderkaak op 3 impl / 2 steggen ( incl. evt. distale extensies) (excl. evt. intraorale reg.)</t>
  </si>
  <si>
    <t>Volledige prothese onderkaak op 2 impl / 1 steg ( incl. evt. distale extensies) (excl. evt. intraorale reg.)</t>
  </si>
  <si>
    <t>Bij de volledige prothese onder en bovenkaak is de intraorale registratie een extra toevoeging. Uitsluitend te declareren indien ook uitgevoerd.</t>
  </si>
  <si>
    <t>Uit overleg met ONT komen de volgende punten:</t>
  </si>
  <si>
    <t>Toeslag voor beetregistratie met specifieke apparatuur</t>
  </si>
  <si>
    <t>Overkappingsprothese in de onderkaak op 4 implantaten op nieuwe staaf en een nieuwe conventionele bovenprothese</t>
  </si>
  <si>
    <t>Boven- en onder klikgebit, 4 implantaten onderkaak met staaf en conventionele bovenprothese</t>
  </si>
  <si>
    <t>Boven- en onder klikgebit, 2 implantaten onderkaak met staaf en conventionele bovenprothese</t>
  </si>
  <si>
    <t>Boven- en onder klikgebit, 2 implantaten onderkaak met drukknoppen en conventionele bovenprothese</t>
  </si>
  <si>
    <t>Volledige prothese onderkaak op 3 impl / 3 drukknoppen (excl. evt. intraorale reg.)</t>
  </si>
  <si>
    <t>Volledige prothese onderkaak op 2 impl / 2 drukknoppen (excl. evt. intraorale reg.)</t>
  </si>
  <si>
    <t>Volledige prothese bovenkaak op 4 impl / 4 drukknoppen (excl. evt. intraorale reg.)</t>
  </si>
  <si>
    <t>Volledige prothese bovenkaak op 2 impl / 2 drukknoppen (excl. evt. intraorale reg.)</t>
  </si>
  <si>
    <r>
      <t xml:space="preserve"> </t>
    </r>
    <r>
      <rPr>
        <b/>
        <sz val="11"/>
        <color theme="1"/>
        <rFont val="Calibri"/>
        <family val="2"/>
        <scheme val="minor"/>
      </rPr>
      <t>J52</t>
    </r>
  </si>
  <si>
    <t>Volledige prothese bovenkaak conventioneel en onderkaak op 4 impl / 4 drukknoppen (excl. evt. intraorale reg.)</t>
  </si>
  <si>
    <t xml:space="preserve"> J50</t>
  </si>
  <si>
    <t>Volledige prothese bovenkaak conventioneel en onderkaak op 3 impl / 3 drukknoppen (excl. evt. intraorale reg.)</t>
  </si>
  <si>
    <t>Volledige prothese bovenkaak conventioneel en onderkaak op 2 impl / 2 drukknoppen (excl. evt. intraorale reg.)</t>
  </si>
  <si>
    <t>Omvormen volledige onderprothese op 3 impl / 2 steg (incl. eventuele distale extensies)</t>
  </si>
  <si>
    <t>Omvormen volledige onderprothese op 2 impl / 1 steg (incl. eventuele distale extensies)</t>
  </si>
  <si>
    <t>Omvormen volledige onderprothese op 3 impl / 3 drukknoppen</t>
  </si>
  <si>
    <t>Omvormen volledige onderprothese op 2 impl / 2 drukknoppen</t>
  </si>
  <si>
    <t>Elke volgende uitbreiding van dezelfde steg, inclusief schroef (daadwerkelijke kosten met maximum van)</t>
  </si>
  <si>
    <t>Eerste stegdeel, inclusief schroeven en inclusief extensies (daadwerkelijke kosten met maximum van)</t>
  </si>
  <si>
    <t>Elke volgende drukknop (daadwerkelijke kosten met maximum van)</t>
  </si>
  <si>
    <t>Overkappingsprothese in de onderkaak op 4 implantaten op bestaande staaf en een nieuwe conventionele bovenprothese</t>
  </si>
  <si>
    <t>Overkappingsprothese in de onderkaak op 2 implantaten op nieuwe staaf</t>
  </si>
  <si>
    <t>Overkappingsprothese in de onderkaak op 4 implantaten op nieuwe staaf</t>
  </si>
  <si>
    <t>Overkappingsprothese in de onderkaak op 2 implantaten op bestaande staaf</t>
  </si>
  <si>
    <t>Overkappingsprothese in de onderkaak op 4 implantaten op bestaande staaf</t>
  </si>
  <si>
    <t>Overkappingsprothese in de bovenkaak op 4 implantaten op nieuwe staaf</t>
  </si>
  <si>
    <t>Overkappingsprothese in de bovenkaak met metaalversteviging op 4 implantaten op nieuwe staaf</t>
  </si>
  <si>
    <t>Overkappingsprothese in de bovenkaak op 4 implantaten op bestaande staaf</t>
  </si>
  <si>
    <t>Rebasen B/O Indirect zonder Randopbouw</t>
  </si>
  <si>
    <t>Rebasen B of O Indirect met Randopbouw</t>
  </si>
  <si>
    <t>Implantaattoeslag (6490) is niet declarabel bij rebasingen en reparaties van implantaatgedragen prothetiek.</t>
  </si>
  <si>
    <t>Individuele modelatie (1455) is akkoord voor duurzame conventionele en implantologische prothetiek. Voor immediaat protheses en noodprotheses is deze code niet declarabel.</t>
  </si>
  <si>
    <t>Afdrukhulpdeel (9959) is al betaald en daarom niet meer declarabel bij implantaatgedragen prothetiek met drukknoppen.</t>
  </si>
  <si>
    <t>Voor de kosten van de uitbreiding van de steg wordt Strauman als referentie gebruikt (gefreesde steg op 4 impl incl meegeleverde schroeven - gefreesde steg op 2 impl inl meegeleverde schroeven / 2 met additioneel 21% btw en 20% opslag tbv handeling, service en garantieregelingen).</t>
  </si>
  <si>
    <t>Voor de kosten van de steg wordt Straumann als referentie gebruikt (gefreesde steg op 2 impl incl meegeleverde schroeven met additioneel 21% btw en 20% opslag tbv handeling, service en garantieregelingen).</t>
  </si>
  <si>
    <t>Voor de kosten van de drukknop wordt Straumann als referentie gebruikt. Betreft daadwerkelijk kosten met maximum van.</t>
  </si>
  <si>
    <t>Bij de implantaatgedragen prothetiek is de intraorale registratie een extra toevoeging. Uitsluitend te declareren indien ook uitgevoerd.</t>
  </si>
  <si>
    <t>Reparatie volledige onder- of bovenprothese zonder afdruk</t>
  </si>
  <si>
    <t>UPT</t>
  </si>
  <si>
    <t>BOVENKAAK</t>
  </si>
  <si>
    <t>ONDERKAAK</t>
  </si>
  <si>
    <t>Overkappingsprothese in de bovenkaak op 4 implantaten op drukknoppen</t>
  </si>
  <si>
    <t>Techniek</t>
  </si>
  <si>
    <t>Aanvragen TK</t>
  </si>
  <si>
    <t>Zorgverzekeraar</t>
  </si>
  <si>
    <t>voor CZ j50+j42</t>
  </si>
  <si>
    <t>voor CZ j50+j42+j43(2x)</t>
  </si>
  <si>
    <t>voor CZ j50+j40</t>
  </si>
  <si>
    <t>voor CZ j50+j40+j41 (2x)</t>
  </si>
  <si>
    <t>voor CZ j51+j42+j43</t>
  </si>
  <si>
    <t xml:space="preserve">voor CZ j42+j43, 2 losse steggen </t>
  </si>
  <si>
    <t>niet benoemd</t>
  </si>
  <si>
    <t>voor CZ j52+j40+j41 (2x)</t>
  </si>
  <si>
    <t>voor CZ j52+j59</t>
  </si>
  <si>
    <t>voor CZ j51+j40; bestaande drukknoppen j51 -&gt; 665,00</t>
  </si>
  <si>
    <t>voor CZ j51+j40+j42; bestaande drukknoppen j51 -&gt; 1280,00</t>
  </si>
  <si>
    <t>voor CZ j51/j52+j57, met nieuwe antagonerende VP j51/j52 -&gt; 980,00</t>
  </si>
  <si>
    <t>Boven- en onder klikgebit, 4 implantaten onderkaak met drukknoppen en conventionele bovenprothese</t>
  </si>
  <si>
    <t>UPT Tarief 2017</t>
  </si>
  <si>
    <t>Onder-klikgebit, 4 implantaten onderkaak met drukknoppen</t>
  </si>
  <si>
    <t>Onder-klikgebit, 2 implantaten onderkaak met drukknoppen</t>
  </si>
  <si>
    <t>Onder-klikgebit, 4 implantaten onderkaak met staaf</t>
  </si>
  <si>
    <t>Onder-klikgebit, 2 implantaten onderkaak met staaf</t>
  </si>
  <si>
    <t>Boven-klikgebit, 4 implantaten bovenkaak met staaf</t>
  </si>
  <si>
    <t>Boven-klikgebit, 6 implantaten bovenkaak met staaf</t>
  </si>
  <si>
    <t>Boven-klikgebit, 4 implantaten bovenkaak met drukknoppen</t>
  </si>
  <si>
    <t>Boven-klikgebit, 4 implantaten bovenkaak met staaf en metaal versteviging</t>
  </si>
  <si>
    <t>Boven-klikgebit, 6 implantaten bovenkaak met staaf en metaalversteviging</t>
  </si>
  <si>
    <t>Boven-klikgebit, 6 implantaten bovenkaak met drukknoppen</t>
  </si>
  <si>
    <t>Wrap-around prothese bovenkaak op 6 implantaten</t>
  </si>
  <si>
    <t>Wrap-around prothese bovenkaak op 4 implantaten</t>
  </si>
  <si>
    <t>Wrap-around prothese onderkaak op 4 implantaten</t>
  </si>
  <si>
    <t>Wrap-around prothese onderkaak op 6 implantaten</t>
  </si>
  <si>
    <t>Overkappingsprothese in de onderkaak op 2 implantaten op nieuwe staaf en een nieuwe conventionele bovenprothese</t>
  </si>
  <si>
    <t>Toeslag vervangings- klikgebit op bestaande stegconstructie tussen 2 implantaten</t>
  </si>
  <si>
    <t>Overkappingsprothese in de onderkaak op 2 implantaten op bestaande staaf en een nieuwe conventionele bovenprothese</t>
  </si>
  <si>
    <t>Eigen Bijdrage type:</t>
  </si>
  <si>
    <t>Totaal bedrag</t>
  </si>
  <si>
    <t>Totaal bedrag verwachte Eigen Bijdrage</t>
  </si>
  <si>
    <t xml:space="preserve"> Ondertekening Behandelaar:</t>
  </si>
  <si>
    <t>Ondertekening Patiënt:</t>
  </si>
  <si>
    <t>Rij teller</t>
  </si>
  <si>
    <t>Totale EB</t>
  </si>
  <si>
    <t>Ovk_OK2_staafmetnwe_VPB</t>
  </si>
  <si>
    <t>Sheetname</t>
  </si>
  <si>
    <t>OVK_OK2_oude_staafmetnwe_VPB</t>
  </si>
  <si>
    <t>OVK_OK2_staaf</t>
  </si>
  <si>
    <t>OVK_OK2_oude_staaf</t>
  </si>
  <si>
    <t>Ovk_OK2_drukknopMETnwe_VPB</t>
  </si>
  <si>
    <t>Ovk_OK2_oude_drukknopmetVPB</t>
  </si>
  <si>
    <t>OVK_OK2_drukknop</t>
  </si>
  <si>
    <t>OVK_OK2_oude_drukknop</t>
  </si>
  <si>
    <t>Ovk_OK4_staafmetnwe_VPB</t>
  </si>
  <si>
    <t>OVK_OK4_oude_staafmetnwe_VPB</t>
  </si>
  <si>
    <t>OVK_OK4_staaf</t>
  </si>
  <si>
    <t>OVK_OK4_oude_staaf</t>
  </si>
  <si>
    <t>OVK OK4 drukknop</t>
  </si>
  <si>
    <t>OVK OK4 oude drukknop</t>
  </si>
  <si>
    <t>Ovk OK4 drukknop+nwe VPB</t>
  </si>
  <si>
    <t>Ovk OK4 oude drukknop+nwe VPB</t>
  </si>
  <si>
    <t>OVK_BK4_nieuwe_staaf</t>
  </si>
  <si>
    <t>Overkappingsprothese in de bovenkaak met metaalversteviging op 4 implantaten op bestaande staaf</t>
  </si>
  <si>
    <t>Overkappingsprothese in de bovenkaak op 6 implantaten op nieuwe staaf</t>
  </si>
  <si>
    <t>Overkappingsprothese in de bovenkaak met metaal versteviging op 6 implantaten op nieuwe staaf</t>
  </si>
  <si>
    <t>Overkappingsprothese in de bovenkaak op 6 implantaten op bestaande staaf</t>
  </si>
  <si>
    <t>Overkappingsprothese in de onderkaak op 2 implantaten op drukknoppen en een nieuwe conventionele bovenprothese</t>
  </si>
  <si>
    <t>Overkappingsprothese in de onderkaak op 4 implantaten op drukknoppen en een nieuwe conventionele bovenprothese</t>
  </si>
  <si>
    <t>Overkappingsprothese in de onderkaak op 4 implantaten op bestaande bestaande drukknoppen en een nieuwe conventionele bovenprothese</t>
  </si>
  <si>
    <t>Overkappingsprothese in de onderkaak op 2 implantaten op bestaande drukknoppen en een nieuwe conventionele bovenprothese</t>
  </si>
  <si>
    <t>Overkappingsprothese in de onderkaak op 2 implantaten op drukknoppen</t>
  </si>
  <si>
    <t>Overkappingsprothese in de onderkaak op 4 implantaten op drukknoppen</t>
  </si>
  <si>
    <t>Overkappingsprothese in de onderkaak op 2 implantaten op bestaande drukknoppen</t>
  </si>
  <si>
    <t>Overkappingsprothese in de onderkaak op 4 implantaten op bestaande drukknoppen</t>
  </si>
  <si>
    <t>Naar inhouds- opgave</t>
  </si>
  <si>
    <t>Reparatie volledige prothese</t>
  </si>
  <si>
    <t>Rebasing volledige prothese</t>
  </si>
  <si>
    <t>Reparatie volledige onder- of bovenprothese met afdruk</t>
  </si>
  <si>
    <t>Onderprothese op 4 implantaten op drukknoppen en nieuwe bovenprothese</t>
  </si>
  <si>
    <t>Onderprothese op 4 implantaten op bestaande drukknoppen en nieuwe bovenprothese</t>
  </si>
  <si>
    <t>Bovenprothese op 4 implantaten op bestaande staaf</t>
  </si>
  <si>
    <t>Bovenprothese op 4 implantaten op bestaande staaf met metaalversteviging</t>
  </si>
  <si>
    <t>Bovenprothese op 4 implantaten op drukknoppen</t>
  </si>
  <si>
    <t>Bovenprothese op 4 implantaten op bestaande drukknoppen</t>
  </si>
  <si>
    <t>Bovenprothese op 6 implantaten op bestaande staaf</t>
  </si>
  <si>
    <t>Bovenprothese op 6 implantaten op bestaande staaf metaalversteviging</t>
  </si>
  <si>
    <t>Bovenprothese op 6 implantaten op drukknoppen</t>
  </si>
  <si>
    <t>Bovenprothese op 6 implantaten op bestaande drukknoppen</t>
  </si>
  <si>
    <t>Onderprothese op 2 implantaten op staaf en nieuwe bovenprothese</t>
  </si>
  <si>
    <t>Onderprothese op 2 implantaten op staaf</t>
  </si>
  <si>
    <t xml:space="preserve">voor CZ j51/j52+j58, met nieuwe antagonerende prothese j51/j52-&gt; 1210,00  </t>
  </si>
  <si>
    <t>CZ, met drukknoppen -&gt; 200,00</t>
  </si>
  <si>
    <t>voor CZ j70/j71</t>
  </si>
  <si>
    <t>voor CZ j70/j73</t>
  </si>
  <si>
    <t>voor CZ j44/j77</t>
  </si>
  <si>
    <t>voor CZ j44/j76</t>
  </si>
  <si>
    <t>voor CZ J74/j75</t>
  </si>
  <si>
    <t>voor CZ j70/j71, bij drukknoppen j70 -&gt; 350,00</t>
  </si>
  <si>
    <t>voor CZ j70/j72, bij drukknoppen j70 -&gt; 450,00</t>
  </si>
  <si>
    <t>Bronnen</t>
  </si>
  <si>
    <t>https://www.cz.nl/~/media/zorgaanbieder/actueel/mondzorg/maximale%20materiaal%20en%20techniekkosten%20overige%20mondzorg.pdf?revid=0c69f00b-d508-4162-99b6-d3d96162d9e4</t>
  </si>
  <si>
    <t>https://www.cz.nl/~/media/zorgaanbieder/actueel/mondzorg/maximale-materiaal-en-techniekkosten-implantologie-suprastructuur.pdf?revid=e848930e-8a51-44cb-b945-e3672474853c</t>
  </si>
  <si>
    <t>https://www.nza.nl/1048076/1048144/TB_REG_17614_01__Tandheelkundige_zorg.pdf</t>
  </si>
  <si>
    <t>KENGETALLEN</t>
  </si>
  <si>
    <t>Aanvragen tijd (5 min)</t>
  </si>
  <si>
    <t>Bijzonderheden</t>
  </si>
  <si>
    <t>Overkappingsprothese in de bovenkaak met metaal versteviging op 6 implantaten op bestande staaf</t>
  </si>
  <si>
    <t>Overkappingsprothese in de bovenkaak op 6 implantaten op drukknoppen</t>
  </si>
  <si>
    <t>Overkappingsprothese in de bovenkaak op 6 implantaten op bestaande drukknoppen</t>
  </si>
  <si>
    <t>Techniekkosten Goedegebuure</t>
  </si>
  <si>
    <t>Beschrijving</t>
  </si>
  <si>
    <t>Eigen Bijdrage voor protheses</t>
  </si>
  <si>
    <t>Naam:</t>
  </si>
  <si>
    <t>Behandelaar:</t>
  </si>
  <si>
    <t>Patiëntnummer:</t>
  </si>
  <si>
    <t>Onderprothese op 4 implantaten op staaf en nieuwe bovenprothese</t>
  </si>
  <si>
    <t>Onderprothese op 4 implantaten op staaf</t>
  </si>
  <si>
    <t>Bovenprothese op 4 implantaten op staaf</t>
  </si>
  <si>
    <t>Bovenprothese op 4 implantaten op staaf met metaalversteviging</t>
  </si>
  <si>
    <t>Bovenprothese op 6 implantaten op staaf</t>
  </si>
  <si>
    <t>Bovenprothese op 6 implantaten op staaf met metaalversteviging</t>
  </si>
  <si>
    <r>
      <t xml:space="preserve">Wij streven ernaar u correct te informeren. Echter, deze kostenbegroting is een indicatie voor de te verwachten kosten: hier kunnen geen rechten aan worden ontleend. Door deze kostenbegroting te ondertekenen accepteert u de wettelijk verplichte Eigen Bijdrage te voldoen. </t>
    </r>
    <r>
      <rPr>
        <b/>
        <sz val="10"/>
        <color theme="1"/>
        <rFont val="Calibri"/>
        <family val="2"/>
        <scheme val="minor"/>
      </rPr>
      <t>LET OP</t>
    </r>
    <r>
      <rPr>
        <sz val="10"/>
        <color theme="1"/>
        <rFont val="Calibri"/>
        <family val="2"/>
        <scheme val="minor"/>
      </rPr>
      <t>: deze kosten zijn bovenop uw Eigen Risico.</t>
    </r>
  </si>
  <si>
    <r>
      <t xml:space="preserve">Kostenbegroting </t>
    </r>
    <r>
      <rPr>
        <b/>
        <sz val="13.7"/>
        <color indexed="8"/>
        <rFont val="Calibri"/>
        <family val="2"/>
      </rPr>
      <t xml:space="preserve">eigen bijdrage gebitsprothesen </t>
    </r>
    <r>
      <rPr>
        <b/>
        <sz val="13.7"/>
        <color theme="1"/>
        <rFont val="Calibri"/>
        <family val="2"/>
        <scheme val="minor"/>
      </rPr>
      <t>Centrum voor Bijzondere Tandheelkun</t>
    </r>
    <r>
      <rPr>
        <b/>
        <sz val="13.7"/>
        <color indexed="8"/>
        <rFont val="Calibri"/>
        <family val="2"/>
      </rPr>
      <t>de</t>
    </r>
    <phoneticPr fontId="26" type="noConversion"/>
  </si>
  <si>
    <t>OVK_BK4_nieuwe_staafmetmetaal</t>
  </si>
  <si>
    <t>OVK_BK4_bestaande_staaf</t>
  </si>
  <si>
    <t>OVK_BK4_drukknop</t>
  </si>
  <si>
    <t>OVK_BK4_bestaande_drukknop</t>
  </si>
  <si>
    <t>OVK_BK6_nieuwe_staaf</t>
  </si>
  <si>
    <t>OVK_BK6_nieuwe_staafmetmetaal</t>
  </si>
  <si>
    <t>OVK_BK6_bestaande_staaf</t>
  </si>
  <si>
    <t>OVK_BK6_bestaande_staaf_metaal</t>
  </si>
  <si>
    <t>OVK_BK6_drukknop</t>
  </si>
  <si>
    <t>OVK_BK6_bestaandedrukknop</t>
  </si>
  <si>
    <t>VPOmetVPB</t>
  </si>
  <si>
    <t>VPO</t>
  </si>
  <si>
    <t>VPB</t>
  </si>
  <si>
    <t>Rebasing_VPBofVPO</t>
  </si>
  <si>
    <t>Reparatie_VPBofVPOzonderafdruk</t>
  </si>
  <si>
    <t>Reparatie_VPBofVPOmetafdruk</t>
  </si>
  <si>
    <t>Sheet</t>
  </si>
  <si>
    <t>Volle cellen</t>
  </si>
  <si>
    <t>Tandtechniekkosten</t>
  </si>
  <si>
    <t>Geraamde tandtechniekkosten</t>
  </si>
  <si>
    <t>Rij</t>
  </si>
  <si>
    <t>OVK_BK4_bestaande_staafmemetaal</t>
  </si>
  <si>
    <t>Onderprothese op 2 implantaten op bestaande staaf en nieuwe bovenprothese</t>
  </si>
  <si>
    <t>Onderprothese op 2 implantaten op bestaande staaf</t>
  </si>
  <si>
    <t>Onderprothese op 2 implantaten op drukknoppen en nieuwe bovenprothese</t>
  </si>
  <si>
    <t>Onderprothese op 2 implantaten op bestaande drukknoppen en nieuwe bovenprothese</t>
  </si>
  <si>
    <t>Onderprothese op 2 implantaten op drukknoppen</t>
  </si>
  <si>
    <t>Onderprothese op 2 implantaten op bestaande drukknoppen</t>
  </si>
  <si>
    <t>Onderprothese op 4 implantaten op bestaande staaf en nieuwe bovenprothese</t>
  </si>
  <si>
    <t>Onderprothese op 4 implantaten op bestaande staaf</t>
  </si>
  <si>
    <t>Onderprothese op 4 implantaten op drukknoppen</t>
  </si>
  <si>
    <t>Onderprothese op 4 implantaten op bestaande drukknoppen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</si>
</sst>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164" formatCode="0.0"/>
    <numFmt numFmtId="165" formatCode="0000"/>
    <numFmt numFmtId="166" formatCode="_-&quot;€&quot;* #,##0.00_-;_-&quot;€&quot;* #,##0.00\-;_-&quot;€&quot;* &quot;-&quot;??_-;_-@_-"/>
    <numFmt numFmtId="167" formatCode="_-&quot;€&quot;* #.##0.00_-;_-&quot;€&quot;* #.##0.00\-;_-&quot;€&quot;* &quot;-&quot;??_-;_-@_-"/>
    <numFmt numFmtId="168" formatCode="_ &quot;€&quot;\ * #.##0.00_ ;_ &quot;€&quot;\ * \-#.##0.00_ ;_ &quot;€&quot;\ * &quot;-&quot;??_ ;_ @_ "/>
    <numFmt numFmtId="169" formatCode="0_ ;\-0\ "/>
    <numFmt numFmtId="170" formatCode="&quot;€&quot;\ #,##0.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F497D"/>
      <name val="Calibri (Body)"/>
    </font>
    <font>
      <sz val="14"/>
      <color indexed="8"/>
      <name val="Calibri (Body)"/>
    </font>
    <font>
      <b/>
      <sz val="14"/>
      <name val="Calibri (Body)"/>
    </font>
    <font>
      <sz val="14"/>
      <name val="Calibri (Body)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3.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Verdana"/>
    </font>
    <font>
      <b/>
      <sz val="13.7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top" wrapText="1"/>
    </xf>
    <xf numFmtId="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9" fontId="0" fillId="2" borderId="0" xfId="0" applyNumberFormat="1" applyFill="1" applyAlignment="1">
      <alignment horizontal="center" vertical="center" wrapText="1"/>
    </xf>
    <xf numFmtId="0" fontId="3" fillId="2" borderId="0" xfId="0" applyFont="1" applyFill="1"/>
    <xf numFmtId="44" fontId="0" fillId="2" borderId="0" xfId="1" applyFont="1" applyFill="1"/>
    <xf numFmtId="1" fontId="1" fillId="0" borderId="0" xfId="0" applyNumberFormat="1" applyFont="1" applyAlignment="1">
      <alignment horizontal="center" vertical="center" wrapText="1"/>
    </xf>
    <xf numFmtId="44" fontId="1" fillId="0" borderId="0" xfId="1" applyFont="1" applyAlignment="1">
      <alignment horizontal="center" vertical="center" wrapText="1"/>
    </xf>
    <xf numFmtId="44" fontId="0" fillId="0" borderId="0" xfId="1" applyFont="1" applyAlignment="1">
      <alignment horizontal="right" wrapText="1"/>
    </xf>
    <xf numFmtId="14" fontId="0" fillId="2" borderId="0" xfId="0" applyNumberFormat="1" applyFill="1" applyAlignment="1">
      <alignment horizontal="left" wrapText="1"/>
    </xf>
    <xf numFmtId="0" fontId="0" fillId="2" borderId="0" xfId="0" applyFill="1" applyAlignment="1">
      <alignment horizontal="right"/>
    </xf>
    <xf numFmtId="0" fontId="0" fillId="0" borderId="0" xfId="0" applyAlignment="1">
      <alignment vertical="top"/>
    </xf>
    <xf numFmtId="44" fontId="0" fillId="2" borderId="0" xfId="1" applyFont="1" applyFill="1" applyAlignment="1">
      <alignment horizontal="center" vertical="center" wrapText="1"/>
    </xf>
    <xf numFmtId="44" fontId="0" fillId="0" borderId="0" xfId="1" applyFont="1"/>
    <xf numFmtId="9" fontId="0" fillId="0" borderId="0" xfId="0" applyNumberFormat="1" applyAlignment="1">
      <alignment horizontal="center" vertical="top"/>
    </xf>
    <xf numFmtId="44" fontId="0" fillId="0" borderId="0" xfId="1" applyFont="1" applyAlignment="1">
      <alignment vertical="top"/>
    </xf>
    <xf numFmtId="0" fontId="5" fillId="0" borderId="0" xfId="2" applyFont="1" applyAlignment="1">
      <alignment vertical="center" wrapText="1"/>
    </xf>
    <xf numFmtId="44" fontId="0" fillId="3" borderId="0" xfId="1" applyFont="1" applyFill="1" applyAlignment="1">
      <alignment horizontal="center" vertical="top" wrapText="1"/>
    </xf>
    <xf numFmtId="44" fontId="0" fillId="0" borderId="0" xfId="1" applyFont="1" applyFill="1" applyAlignment="1">
      <alignment vertical="top"/>
    </xf>
    <xf numFmtId="0" fontId="0" fillId="2" borderId="0" xfId="0" applyFill="1" applyAlignment="1">
      <alignment horizontal="center" vertical="top" wrapText="1"/>
    </xf>
    <xf numFmtId="165" fontId="7" fillId="0" borderId="1" xfId="0" applyNumberFormat="1" applyFont="1" applyBorder="1"/>
    <xf numFmtId="0" fontId="7" fillId="0" borderId="1" xfId="0" applyFont="1" applyBorder="1" applyAlignment="1">
      <alignment wrapText="1" shrinkToFit="1"/>
    </xf>
    <xf numFmtId="0" fontId="8" fillId="0" borderId="0" xfId="0" applyFont="1"/>
    <xf numFmtId="165" fontId="9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0" fontId="10" fillId="0" borderId="0" xfId="0" applyFont="1"/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165" fontId="8" fillId="0" borderId="1" xfId="0" applyNumberFormat="1" applyFont="1" applyBorder="1"/>
    <xf numFmtId="0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vertical="center"/>
    </xf>
    <xf numFmtId="167" fontId="8" fillId="0" borderId="1" xfId="3" applyFont="1" applyBorder="1"/>
    <xf numFmtId="165" fontId="8" fillId="0" borderId="0" xfId="0" applyNumberFormat="1" applyFont="1"/>
    <xf numFmtId="0" fontId="8" fillId="0" borderId="0" xfId="0" applyFont="1" applyAlignment="1">
      <alignment wrapText="1"/>
    </xf>
    <xf numFmtId="0" fontId="0" fillId="0" borderId="0" xfId="0" applyFont="1"/>
    <xf numFmtId="44" fontId="0" fillId="0" borderId="0" xfId="0" applyNumberFormat="1" applyFont="1"/>
    <xf numFmtId="2" fontId="0" fillId="0" borderId="0" xfId="0" applyNumberFormat="1" applyFont="1"/>
    <xf numFmtId="0" fontId="0" fillId="0" borderId="1" xfId="0" applyFont="1" applyBorder="1"/>
    <xf numFmtId="44" fontId="0" fillId="6" borderId="1" xfId="0" applyNumberFormat="1" applyFont="1" applyFill="1" applyBorder="1"/>
    <xf numFmtId="2" fontId="0" fillId="0" borderId="1" xfId="0" applyNumberFormat="1" applyFont="1" applyBorder="1"/>
    <xf numFmtId="0" fontId="0" fillId="7" borderId="1" xfId="0" applyFont="1" applyFill="1" applyBorder="1"/>
    <xf numFmtId="2" fontId="0" fillId="7" borderId="2" xfId="0" applyNumberFormat="1" applyFont="1" applyFill="1" applyBorder="1"/>
    <xf numFmtId="0" fontId="11" fillId="7" borderId="1" xfId="0" applyFont="1" applyFill="1" applyBorder="1" applyAlignment="1">
      <alignment vertical="center"/>
    </xf>
    <xf numFmtId="44" fontId="1" fillId="8" borderId="1" xfId="0" applyNumberFormat="1" applyFont="1" applyFill="1" applyBorder="1"/>
    <xf numFmtId="0" fontId="1" fillId="8" borderId="1" xfId="0" applyFont="1" applyFill="1" applyBorder="1"/>
    <xf numFmtId="2" fontId="1" fillId="8" borderId="2" xfId="0" applyNumberFormat="1" applyFont="1" applyFill="1" applyBorder="1"/>
    <xf numFmtId="0" fontId="12" fillId="9" borderId="1" xfId="0" applyFont="1" applyFill="1" applyBorder="1" applyAlignment="1">
      <alignment vertical="center" wrapText="1"/>
    </xf>
    <xf numFmtId="0" fontId="1" fillId="10" borderId="1" xfId="0" applyFont="1" applyFill="1" applyBorder="1"/>
    <xf numFmtId="44" fontId="1" fillId="10" borderId="1" xfId="0" applyNumberFormat="1" applyFont="1" applyFill="1" applyBorder="1"/>
    <xf numFmtId="2" fontId="1" fillId="10" borderId="1" xfId="0" applyNumberFormat="1" applyFont="1" applyFill="1" applyBorder="1"/>
    <xf numFmtId="165" fontId="1" fillId="10" borderId="1" xfId="0" applyNumberFormat="1" applyFont="1" applyFill="1" applyBorder="1"/>
    <xf numFmtId="165" fontId="0" fillId="0" borderId="3" xfId="0" applyNumberFormat="1" applyFont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0" fontId="11" fillId="0" borderId="1" xfId="0" applyFont="1" applyFill="1" applyBorder="1" applyAlignment="1">
      <alignment vertical="center"/>
    </xf>
    <xf numFmtId="2" fontId="0" fillId="7" borderId="1" xfId="0" applyNumberFormat="1" applyFont="1" applyFill="1" applyBorder="1"/>
    <xf numFmtId="44" fontId="1" fillId="11" borderId="1" xfId="0" applyNumberFormat="1" applyFont="1" applyFill="1" applyBorder="1"/>
    <xf numFmtId="0" fontId="1" fillId="11" borderId="1" xfId="0" applyFont="1" applyFill="1" applyBorder="1"/>
    <xf numFmtId="2" fontId="1" fillId="11" borderId="2" xfId="0" applyNumberFormat="1" applyFont="1" applyFill="1" applyBorder="1"/>
    <xf numFmtId="0" fontId="12" fillId="11" borderId="1" xfId="0" applyFont="1" applyFill="1" applyBorder="1" applyAlignment="1">
      <alignment vertical="center" wrapText="1"/>
    </xf>
    <xf numFmtId="44" fontId="0" fillId="12" borderId="1" xfId="0" applyNumberFormat="1" applyFont="1" applyFill="1" applyBorder="1"/>
    <xf numFmtId="44" fontId="0" fillId="0" borderId="1" xfId="0" applyNumberFormat="1" applyFont="1" applyBorder="1"/>
    <xf numFmtId="44" fontId="0" fillId="7" borderId="1" xfId="0" applyNumberFormat="1" applyFont="1" applyFill="1" applyBorder="1"/>
    <xf numFmtId="165" fontId="0" fillId="7" borderId="1" xfId="0" applyNumberFormat="1" applyFont="1" applyFill="1" applyBorder="1"/>
    <xf numFmtId="2" fontId="1" fillId="11" borderId="1" xfId="0" applyNumberFormat="1" applyFont="1" applyFill="1" applyBorder="1"/>
    <xf numFmtId="0" fontId="12" fillId="11" borderId="1" xfId="0" applyFont="1" applyFill="1" applyBorder="1"/>
    <xf numFmtId="44" fontId="0" fillId="10" borderId="1" xfId="0" applyNumberFormat="1" applyFont="1" applyFill="1" applyBorder="1"/>
    <xf numFmtId="2" fontId="0" fillId="10" borderId="1" xfId="0" applyNumberFormat="1" applyFont="1" applyFill="1" applyBorder="1"/>
    <xf numFmtId="0" fontId="11" fillId="10" borderId="1" xfId="0" applyFont="1" applyFill="1" applyBorder="1"/>
    <xf numFmtId="0" fontId="11" fillId="0" borderId="1" xfId="0" applyFont="1" applyBorder="1"/>
    <xf numFmtId="2" fontId="0" fillId="0" borderId="2" xfId="0" applyNumberFormat="1" applyFont="1" applyBorder="1"/>
    <xf numFmtId="0" fontId="11" fillId="0" borderId="1" xfId="0" applyFont="1" applyBorder="1" applyAlignment="1">
      <alignment vertical="center"/>
    </xf>
    <xf numFmtId="0" fontId="11" fillId="10" borderId="1" xfId="0" applyFont="1" applyFill="1" applyBorder="1" applyAlignment="1">
      <alignment vertical="center"/>
    </xf>
    <xf numFmtId="0" fontId="11" fillId="0" borderId="4" xfId="0" applyFont="1" applyBorder="1"/>
    <xf numFmtId="166" fontId="0" fillId="0" borderId="0" xfId="0" applyNumberFormat="1" applyFont="1"/>
    <xf numFmtId="44" fontId="0" fillId="0" borderId="0" xfId="0" applyNumberFormat="1" applyFont="1" applyFill="1"/>
    <xf numFmtId="0" fontId="11" fillId="0" borderId="5" xfId="0" applyFont="1" applyBorder="1"/>
    <xf numFmtId="44" fontId="0" fillId="10" borderId="3" xfId="0" applyNumberFormat="1" applyFont="1" applyFill="1" applyBorder="1"/>
    <xf numFmtId="0" fontId="1" fillId="10" borderId="3" xfId="0" applyFont="1" applyFill="1" applyBorder="1"/>
    <xf numFmtId="44" fontId="0" fillId="0" borderId="6" xfId="0" applyNumberFormat="1" applyFont="1" applyFill="1" applyBorder="1"/>
    <xf numFmtId="0" fontId="0" fillId="0" borderId="6" xfId="0" applyFont="1" applyFill="1" applyBorder="1"/>
    <xf numFmtId="2" fontId="0" fillId="0" borderId="6" xfId="0" applyNumberFormat="1" applyFont="1" applyBorder="1"/>
    <xf numFmtId="44" fontId="0" fillId="6" borderId="4" xfId="0" applyNumberFormat="1" applyFont="1" applyFill="1" applyBorder="1"/>
    <xf numFmtId="0" fontId="0" fillId="0" borderId="4" xfId="0" applyFont="1" applyBorder="1"/>
    <xf numFmtId="2" fontId="0" fillId="0" borderId="6" xfId="0" applyNumberFormat="1" applyFont="1" applyFill="1" applyBorder="1"/>
    <xf numFmtId="165" fontId="0" fillId="0" borderId="0" xfId="0" applyNumberFormat="1" applyFont="1"/>
    <xf numFmtId="165" fontId="0" fillId="0" borderId="1" xfId="0" applyNumberFormat="1" applyFont="1" applyBorder="1"/>
    <xf numFmtId="2" fontId="1" fillId="8" borderId="1" xfId="0" applyNumberFormat="1" applyFont="1" applyFill="1" applyBorder="1"/>
    <xf numFmtId="165" fontId="13" fillId="8" borderId="1" xfId="0" applyNumberFormat="1" applyFont="1" applyFill="1" applyBorder="1" applyAlignment="1">
      <alignment wrapText="1"/>
    </xf>
    <xf numFmtId="44" fontId="0" fillId="10" borderId="2" xfId="0" applyNumberFormat="1" applyFont="1" applyFill="1" applyBorder="1"/>
    <xf numFmtId="44" fontId="0" fillId="10" borderId="6" xfId="0" applyNumberFormat="1" applyFont="1" applyFill="1" applyBorder="1"/>
    <xf numFmtId="0" fontId="1" fillId="10" borderId="7" xfId="0" applyFont="1" applyFill="1" applyBorder="1"/>
    <xf numFmtId="49" fontId="0" fillId="10" borderId="1" xfId="0" applyNumberFormat="1" applyFill="1" applyBorder="1"/>
    <xf numFmtId="2" fontId="0" fillId="0" borderId="7" xfId="0" applyNumberFormat="1" applyFont="1" applyBorder="1"/>
    <xf numFmtId="0" fontId="1" fillId="0" borderId="0" xfId="0" applyFont="1"/>
    <xf numFmtId="165" fontId="0" fillId="7" borderId="1" xfId="0" applyNumberFormat="1" applyFont="1" applyFill="1" applyBorder="1" applyAlignment="1"/>
    <xf numFmtId="49" fontId="0" fillId="10" borderId="1" xfId="0" applyNumberFormat="1" applyFont="1" applyFill="1" applyBorder="1"/>
    <xf numFmtId="0" fontId="14" fillId="0" borderId="6" xfId="0" applyFont="1" applyFill="1" applyBorder="1"/>
    <xf numFmtId="2" fontId="0" fillId="0" borderId="7" xfId="0" applyNumberFormat="1" applyFont="1" applyFill="1" applyBorder="1"/>
    <xf numFmtId="165" fontId="0" fillId="0" borderId="1" xfId="0" applyNumberFormat="1" applyFont="1" applyFill="1" applyBorder="1"/>
    <xf numFmtId="44" fontId="0" fillId="0" borderId="1" xfId="0" applyNumberFormat="1" applyFont="1" applyFill="1" applyBorder="1"/>
    <xf numFmtId="0" fontId="14" fillId="0" borderId="1" xfId="0" applyFont="1" applyFill="1" applyBorder="1"/>
    <xf numFmtId="44" fontId="0" fillId="0" borderId="6" xfId="0" applyNumberFormat="1" applyFont="1" applyBorder="1"/>
    <xf numFmtId="0" fontId="0" fillId="0" borderId="6" xfId="0" applyFont="1" applyBorder="1"/>
    <xf numFmtId="1" fontId="0" fillId="10" borderId="1" xfId="0" applyNumberFormat="1" applyFont="1" applyFill="1" applyBorder="1"/>
    <xf numFmtId="0" fontId="15" fillId="7" borderId="1" xfId="0" applyFont="1" applyFill="1" applyBorder="1" applyAlignment="1">
      <alignment vertical="center"/>
    </xf>
    <xf numFmtId="0" fontId="1" fillId="10" borderId="6" xfId="0" applyFont="1" applyFill="1" applyBorder="1"/>
    <xf numFmtId="165" fontId="0" fillId="10" borderId="7" xfId="0" applyNumberFormat="1" applyFont="1" applyFill="1" applyBorder="1"/>
    <xf numFmtId="165" fontId="0" fillId="0" borderId="7" xfId="0" applyNumberFormat="1" applyFont="1" applyBorder="1"/>
    <xf numFmtId="165" fontId="0" fillId="0" borderId="2" xfId="0" applyNumberFormat="1" applyFont="1" applyBorder="1"/>
    <xf numFmtId="44" fontId="0" fillId="10" borderId="8" xfId="0" applyNumberFormat="1" applyFont="1" applyFill="1" applyBorder="1"/>
    <xf numFmtId="0" fontId="1" fillId="10" borderId="9" xfId="0" applyFont="1" applyFill="1" applyBorder="1"/>
    <xf numFmtId="165" fontId="0" fillId="10" borderId="10" xfId="0" applyNumberFormat="1" applyFont="1" applyFill="1" applyBorder="1"/>
    <xf numFmtId="165" fontId="0" fillId="10" borderId="1" xfId="0" applyNumberFormat="1" applyFont="1" applyFill="1" applyBorder="1"/>
    <xf numFmtId="165" fontId="0" fillId="0" borderId="10" xfId="0" applyNumberFormat="1" applyFont="1" applyBorder="1"/>
    <xf numFmtId="2" fontId="0" fillId="10" borderId="1" xfId="0" applyNumberFormat="1" applyFill="1" applyBorder="1"/>
    <xf numFmtId="44" fontId="0" fillId="10" borderId="0" xfId="0" applyNumberFormat="1" applyFont="1" applyFill="1"/>
    <xf numFmtId="0" fontId="1" fillId="10" borderId="0" xfId="0" applyFont="1" applyFill="1"/>
    <xf numFmtId="2" fontId="1" fillId="10" borderId="3" xfId="0" applyNumberFormat="1" applyFont="1" applyFill="1" applyBorder="1"/>
    <xf numFmtId="165" fontId="0" fillId="10" borderId="0" xfId="0" applyNumberFormat="1" applyFont="1" applyFill="1"/>
    <xf numFmtId="165" fontId="0" fillId="0" borderId="6" xfId="0" applyNumberFormat="1" applyFont="1" applyBorder="1"/>
    <xf numFmtId="44" fontId="1" fillId="8" borderId="3" xfId="0" applyNumberFormat="1" applyFont="1" applyFill="1" applyBorder="1"/>
    <xf numFmtId="0" fontId="1" fillId="8" borderId="3" xfId="0" applyFont="1" applyFill="1" applyBorder="1"/>
    <xf numFmtId="2" fontId="1" fillId="8" borderId="3" xfId="0" applyNumberFormat="1" applyFont="1" applyFill="1" applyBorder="1"/>
    <xf numFmtId="165" fontId="13" fillId="8" borderId="3" xfId="0" applyNumberFormat="1" applyFont="1" applyFill="1" applyBorder="1" applyAlignment="1">
      <alignment wrapText="1"/>
    </xf>
    <xf numFmtId="44" fontId="0" fillId="13" borderId="6" xfId="0" applyNumberFormat="1" applyFont="1" applyFill="1" applyBorder="1"/>
    <xf numFmtId="0" fontId="15" fillId="0" borderId="1" xfId="0" applyFont="1" applyBorder="1" applyAlignment="1">
      <alignment vertical="center"/>
    </xf>
    <xf numFmtId="0" fontId="16" fillId="9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vertical="center"/>
    </xf>
    <xf numFmtId="44" fontId="0" fillId="10" borderId="11" xfId="0" applyNumberFormat="1" applyFont="1" applyFill="1" applyBorder="1"/>
    <xf numFmtId="0" fontId="15" fillId="10" borderId="0" xfId="0" applyFont="1" applyFill="1" applyAlignment="1">
      <alignment vertical="center"/>
    </xf>
    <xf numFmtId="165" fontId="0" fillId="0" borderId="0" xfId="0" applyNumberFormat="1" applyFont="1" applyBorder="1"/>
    <xf numFmtId="0" fontId="15" fillId="0" borderId="2" xfId="0" applyFont="1" applyBorder="1"/>
    <xf numFmtId="0" fontId="15" fillId="0" borderId="0" xfId="0" applyFont="1" applyBorder="1"/>
    <xf numFmtId="44" fontId="0" fillId="10" borderId="1" xfId="1" applyFont="1" applyFill="1" applyBorder="1"/>
    <xf numFmtId="44" fontId="1" fillId="8" borderId="1" xfId="1" applyFont="1" applyFill="1" applyBorder="1"/>
    <xf numFmtId="44" fontId="0" fillId="7" borderId="1" xfId="1" applyFont="1" applyFill="1" applyBorder="1"/>
    <xf numFmtId="44" fontId="0" fillId="0" borderId="1" xfId="1" applyFont="1" applyBorder="1"/>
    <xf numFmtId="44" fontId="0" fillId="0" borderId="6" xfId="1" applyFont="1" applyBorder="1"/>
    <xf numFmtId="44" fontId="0" fillId="10" borderId="6" xfId="1" applyFont="1" applyFill="1" applyBorder="1"/>
    <xf numFmtId="44" fontId="1" fillId="8" borderId="3" xfId="1" applyFont="1" applyFill="1" applyBorder="1"/>
    <xf numFmtId="44" fontId="0" fillId="10" borderId="0" xfId="1" applyFont="1" applyFill="1"/>
    <xf numFmtId="44" fontId="0" fillId="10" borderId="9" xfId="1" applyFont="1" applyFill="1" applyBorder="1"/>
    <xf numFmtId="44" fontId="1" fillId="10" borderId="1" xfId="1" applyFont="1" applyFill="1" applyBorder="1"/>
    <xf numFmtId="44" fontId="1" fillId="11" borderId="1" xfId="1" applyFont="1" applyFill="1" applyBorder="1"/>
    <xf numFmtId="44" fontId="0" fillId="0" borderId="1" xfId="1" applyFont="1" applyFill="1" applyBorder="1"/>
    <xf numFmtId="44" fontId="0" fillId="0" borderId="6" xfId="1" applyFont="1" applyFill="1" applyBorder="1"/>
    <xf numFmtId="44" fontId="0" fillId="0" borderId="4" xfId="1" applyFont="1" applyBorder="1"/>
    <xf numFmtId="44" fontId="0" fillId="10" borderId="3" xfId="1" applyFont="1" applyFill="1" applyBorder="1"/>
    <xf numFmtId="0" fontId="0" fillId="0" borderId="0" xfId="0" applyFont="1" applyAlignment="1">
      <alignment horizontal="right" wrapText="1"/>
    </xf>
    <xf numFmtId="4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9" fontId="0" fillId="0" borderId="0" xfId="0" applyNumberFormat="1" applyFont="1" applyAlignment="1">
      <alignment horizontal="center" wrapText="1"/>
    </xf>
    <xf numFmtId="0" fontId="0" fillId="3" borderId="0" xfId="0" applyFont="1" applyFill="1" applyAlignment="1">
      <alignment horizontal="left" vertical="top" wrapText="1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44" fontId="14" fillId="0" borderId="0" xfId="1" applyFont="1" applyAlignment="1">
      <alignment horizontal="righ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9" fontId="14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4" fontId="0" fillId="4" borderId="0" xfId="1" applyFont="1" applyFill="1" applyAlignment="1">
      <alignment vertical="top"/>
    </xf>
    <xf numFmtId="44" fontId="1" fillId="2" borderId="0" xfId="1" applyFont="1" applyFill="1"/>
    <xf numFmtId="2" fontId="0" fillId="0" borderId="0" xfId="0" applyNumberFormat="1" applyFill="1" applyAlignment="1">
      <alignment horizontal="right" vertical="top" wrapText="1"/>
    </xf>
    <xf numFmtId="44" fontId="0" fillId="3" borderId="0" xfId="1" applyFont="1" applyFill="1" applyAlignment="1">
      <alignment horizontal="center" vertical="center"/>
    </xf>
    <xf numFmtId="44" fontId="0" fillId="3" borderId="0" xfId="1" applyFont="1" applyFill="1" applyAlignment="1">
      <alignment horizontal="center" vertical="center" wrapText="1"/>
    </xf>
    <xf numFmtId="44" fontId="0" fillId="0" borderId="0" xfId="1" applyFont="1" applyFill="1" applyAlignment="1">
      <alignment horizontal="right" vertical="top" wrapText="1"/>
    </xf>
    <xf numFmtId="164" fontId="0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44" fontId="1" fillId="3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44" fontId="0" fillId="3" borderId="0" xfId="1" applyFont="1" applyFill="1" applyAlignment="1">
      <alignment horizontal="center" wrapText="1"/>
    </xf>
    <xf numFmtId="44" fontId="7" fillId="0" borderId="1" xfId="1" applyFont="1" applyBorder="1"/>
    <xf numFmtId="44" fontId="9" fillId="2" borderId="1" xfId="1" applyFont="1" applyFill="1" applyBorder="1"/>
    <xf numFmtId="44" fontId="8" fillId="2" borderId="1" xfId="1" applyFont="1" applyFill="1" applyBorder="1"/>
    <xf numFmtId="44" fontId="10" fillId="2" borderId="1" xfId="1" applyFont="1" applyFill="1" applyBorder="1"/>
    <xf numFmtId="44" fontId="8" fillId="0" borderId="0" xfId="1" applyFont="1"/>
    <xf numFmtId="0" fontId="0" fillId="0" borderId="0" xfId="0" applyFont="1" applyAlignment="1">
      <alignment vertical="top" wrapText="1"/>
    </xf>
    <xf numFmtId="0" fontId="19" fillId="0" borderId="0" xfId="2" applyFont="1" applyAlignment="1">
      <alignment vertical="center" wrapText="1"/>
    </xf>
    <xf numFmtId="0" fontId="19" fillId="0" borderId="0" xfId="2" applyFont="1" applyAlignment="1">
      <alignment horizontal="center" vertical="center" wrapText="1"/>
    </xf>
    <xf numFmtId="168" fontId="0" fillId="0" borderId="0" xfId="0" applyNumberFormat="1" applyFont="1" applyAlignment="1">
      <alignment horizontal="right" wrapText="1"/>
    </xf>
    <xf numFmtId="4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4" fontId="0" fillId="2" borderId="0" xfId="0" applyNumberFormat="1" applyFont="1" applyFill="1" applyAlignment="1">
      <alignment horizontal="left" wrapText="1"/>
    </xf>
    <xf numFmtId="0" fontId="19" fillId="0" borderId="0" xfId="2" applyFont="1" applyAlignment="1">
      <alignment horizontal="center" vertical="center" wrapText="1"/>
    </xf>
    <xf numFmtId="44" fontId="0" fillId="3" borderId="0" xfId="1" applyFont="1" applyFill="1" applyAlignment="1">
      <alignment horizontal="right" wrapText="1"/>
    </xf>
    <xf numFmtId="9" fontId="0" fillId="3" borderId="0" xfId="0" applyNumberFormat="1" applyFont="1" applyFill="1" applyAlignment="1">
      <alignment horizontal="center" wrapText="1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horizontal="center" wrapText="1"/>
    </xf>
    <xf numFmtId="0" fontId="19" fillId="0" borderId="0" xfId="2" applyFont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44" fontId="0" fillId="3" borderId="0" xfId="1" applyNumberFormat="1" applyFont="1" applyFill="1" applyAlignment="1">
      <alignment horizontal="right" wrapText="1"/>
    </xf>
    <xf numFmtId="44" fontId="1" fillId="10" borderId="0" xfId="1" applyNumberFormat="1" applyFont="1" applyFill="1" applyAlignment="1">
      <alignment horizontal="center" vertical="top" wrapText="1"/>
    </xf>
    <xf numFmtId="44" fontId="0" fillId="0" borderId="0" xfId="1" applyNumberFormat="1" applyFont="1" applyAlignment="1">
      <alignment horizontal="right" wrapText="1"/>
    </xf>
    <xf numFmtId="44" fontId="14" fillId="0" borderId="0" xfId="1" applyNumberFormat="1" applyFont="1" applyAlignment="1">
      <alignment horizontal="right" vertical="center" wrapText="1"/>
    </xf>
    <xf numFmtId="44" fontId="0" fillId="10" borderId="0" xfId="0" applyNumberFormat="1" applyFont="1" applyFill="1" applyAlignment="1">
      <alignment horizontal="right" wrapText="1"/>
    </xf>
    <xf numFmtId="44" fontId="14" fillId="10" borderId="0" xfId="1" applyNumberFormat="1" applyFont="1" applyFill="1" applyAlignment="1">
      <alignment horizontal="right" vertical="center" wrapText="1"/>
    </xf>
    <xf numFmtId="0" fontId="0" fillId="0" borderId="12" xfId="0" applyBorder="1" applyAlignment="1">
      <alignment horizontal="right"/>
    </xf>
    <xf numFmtId="0" fontId="0" fillId="0" borderId="12" xfId="0" applyBorder="1"/>
    <xf numFmtId="14" fontId="0" fillId="0" borderId="12" xfId="0" applyNumberFormat="1" applyBorder="1" applyAlignment="1">
      <alignment horizontal="right"/>
    </xf>
    <xf numFmtId="170" fontId="0" fillId="0" borderId="3" xfId="0" applyNumberFormat="1" applyBorder="1" applyAlignment="1"/>
    <xf numFmtId="0" fontId="0" fillId="0" borderId="0" xfId="0" applyBorder="1"/>
    <xf numFmtId="0" fontId="0" fillId="0" borderId="0" xfId="0" applyBorder="1" applyAlignment="1"/>
    <xf numFmtId="170" fontId="1" fillId="0" borderId="0" xfId="0" applyNumberFormat="1" applyFont="1"/>
    <xf numFmtId="0" fontId="0" fillId="0" borderId="0" xfId="0" applyAlignment="1"/>
    <xf numFmtId="170" fontId="0" fillId="0" borderId="0" xfId="0" applyNumberFormat="1" applyBorder="1" applyAlignment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left" wrapText="1"/>
    </xf>
    <xf numFmtId="170" fontId="0" fillId="0" borderId="0" xfId="0" applyNumberFormat="1"/>
    <xf numFmtId="0" fontId="3" fillId="2" borderId="0" xfId="2" applyFont="1" applyFill="1" applyAlignment="1">
      <alignment vertical="center" wrapText="1"/>
    </xf>
    <xf numFmtId="9" fontId="0" fillId="0" borderId="0" xfId="9" applyFont="1"/>
    <xf numFmtId="170" fontId="0" fillId="0" borderId="0" xfId="1" applyNumberFormat="1" applyFont="1"/>
    <xf numFmtId="14" fontId="1" fillId="0" borderId="0" xfId="0" applyNumberFormat="1" applyFont="1" applyFill="1" applyBorder="1" applyAlignment="1">
      <alignment horizontal="left" wrapText="1"/>
    </xf>
    <xf numFmtId="170" fontId="1" fillId="0" borderId="0" xfId="0" applyNumberFormat="1" applyFont="1" applyBorder="1"/>
    <xf numFmtId="9" fontId="1" fillId="0" borderId="0" xfId="0" applyNumberFormat="1" applyFont="1" applyBorder="1"/>
    <xf numFmtId="0" fontId="1" fillId="0" borderId="9" xfId="0" applyFont="1" applyBorder="1" applyAlignment="1"/>
    <xf numFmtId="170" fontId="0" fillId="0" borderId="17" xfId="0" applyNumberFormat="1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6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0" fillId="0" borderId="0" xfId="0" applyBorder="1" applyProtection="1"/>
    <xf numFmtId="44" fontId="0" fillId="2" borderId="0" xfId="1" applyFont="1" applyFill="1" applyAlignment="1" applyProtection="1"/>
    <xf numFmtId="44" fontId="0" fillId="2" borderId="0" xfId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" fontId="0" fillId="2" borderId="0" xfId="1" applyNumberFormat="1" applyFont="1" applyFill="1" applyAlignment="1" applyProtection="1">
      <alignment horizontal="center" wrapText="1"/>
    </xf>
    <xf numFmtId="44" fontId="0" fillId="2" borderId="0" xfId="1" applyFont="1" applyFill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2" fillId="5" borderId="0" xfId="0" applyFont="1" applyFill="1" applyAlignment="1" applyProtection="1">
      <alignment horizontal="left"/>
    </xf>
    <xf numFmtId="44" fontId="0" fillId="5" borderId="0" xfId="1" applyFont="1" applyFill="1" applyAlignment="1" applyProtection="1"/>
    <xf numFmtId="44" fontId="0" fillId="5" borderId="0" xfId="1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1" fontId="0" fillId="5" borderId="0" xfId="1" applyNumberFormat="1" applyFont="1" applyFill="1" applyAlignment="1" applyProtection="1">
      <alignment horizontal="center" vertical="center"/>
    </xf>
    <xf numFmtId="0" fontId="21" fillId="13" borderId="0" xfId="0" applyFont="1" applyFill="1" applyProtection="1"/>
    <xf numFmtId="44" fontId="0" fillId="0" borderId="0" xfId="1" applyFont="1" applyAlignment="1" applyProtection="1"/>
    <xf numFmtId="44" fontId="0" fillId="0" borderId="0" xfId="1" applyFont="1" applyProtection="1"/>
    <xf numFmtId="1" fontId="0" fillId="0" borderId="0" xfId="1" applyNumberFormat="1" applyFont="1" applyAlignment="1" applyProtection="1">
      <alignment horizontal="center" vertical="center"/>
    </xf>
    <xf numFmtId="0" fontId="0" fillId="0" borderId="0" xfId="0" applyFill="1" applyBorder="1" applyProtection="1"/>
    <xf numFmtId="0" fontId="20" fillId="13" borderId="0" xfId="2" applyFont="1" applyFill="1" applyProtection="1"/>
    <xf numFmtId="170" fontId="0" fillId="0" borderId="0" xfId="0" applyNumberFormat="1" applyBorder="1" applyProtection="1"/>
    <xf numFmtId="1" fontId="0" fillId="0" borderId="0" xfId="1" applyNumberFormat="1" applyFont="1" applyAlignment="1" applyProtection="1">
      <alignment horizontal="center"/>
    </xf>
    <xf numFmtId="0" fontId="4" fillId="13" borderId="0" xfId="2" applyFont="1" applyFill="1" applyProtection="1"/>
    <xf numFmtId="44" fontId="0" fillId="0" borderId="0" xfId="1" applyFont="1" applyFill="1" applyAlignment="1" applyProtection="1"/>
    <xf numFmtId="44" fontId="0" fillId="0" borderId="0" xfId="1" applyFont="1" applyFill="1" applyProtection="1"/>
    <xf numFmtId="0" fontId="0" fillId="0" borderId="0" xfId="0" applyFill="1" applyProtection="1"/>
    <xf numFmtId="1" fontId="0" fillId="0" borderId="0" xfId="1" applyNumberFormat="1" applyFont="1" applyFill="1" applyAlignment="1" applyProtection="1">
      <alignment horizontal="center" vertical="center"/>
    </xf>
    <xf numFmtId="0" fontId="21" fillId="13" borderId="0" xfId="2" applyFont="1" applyFill="1" applyAlignment="1" applyProtection="1">
      <alignment vertical="top"/>
    </xf>
    <xf numFmtId="1" fontId="0" fillId="0" borderId="0" xfId="1" applyNumberFormat="1" applyFont="1" applyFill="1" applyAlignment="1" applyProtection="1">
      <alignment horizontal="center"/>
    </xf>
    <xf numFmtId="0" fontId="0" fillId="13" borderId="0" xfId="0" applyFill="1" applyProtection="1"/>
    <xf numFmtId="0" fontId="22" fillId="5" borderId="0" xfId="0" applyFont="1" applyFill="1" applyProtection="1"/>
    <xf numFmtId="44" fontId="0" fillId="5" borderId="0" xfId="1" applyFont="1" applyFill="1" applyProtection="1"/>
    <xf numFmtId="0" fontId="0" fillId="5" borderId="0" xfId="0" applyFill="1" applyProtection="1"/>
    <xf numFmtId="0" fontId="20" fillId="0" borderId="0" xfId="2" applyFont="1" applyFill="1" applyAlignment="1" applyProtection="1">
      <alignment horizontal="left"/>
    </xf>
    <xf numFmtId="0" fontId="3" fillId="2" borderId="0" xfId="0" applyFont="1" applyFill="1" applyAlignment="1" applyProtection="1">
      <alignment horizontal="center"/>
    </xf>
    <xf numFmtId="169" fontId="3" fillId="2" borderId="0" xfId="1" applyNumberFormat="1" applyFont="1" applyFill="1" applyAlignment="1" applyProtection="1">
      <alignment horizontal="center" vertical="center"/>
    </xf>
    <xf numFmtId="170" fontId="0" fillId="0" borderId="0" xfId="0" applyNumberFormat="1" applyAlignment="1">
      <alignment horizontal="right" vertical="center" wrapText="1"/>
    </xf>
    <xf numFmtId="170" fontId="0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0" fillId="0" borderId="0" xfId="9" applyFont="1" applyAlignment="1">
      <alignment horizontal="righ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Fill="1" applyAlignment="1">
      <alignment horizontal="center" wrapText="1"/>
    </xf>
    <xf numFmtId="44" fontId="0" fillId="0" borderId="0" xfId="1" applyFont="1" applyFill="1" applyAlignment="1">
      <alignment horizontal="center" vertical="center"/>
    </xf>
    <xf numFmtId="0" fontId="24" fillId="0" borderId="0" xfId="0" applyFont="1" applyAlignment="1">
      <alignment horizontal="left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19" fillId="0" borderId="0" xfId="2" applyFont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44" fontId="0" fillId="2" borderId="0" xfId="1" applyFont="1" applyFill="1" applyAlignment="1">
      <alignment horizontal="center" vertical="justify" wrapText="1"/>
    </xf>
    <xf numFmtId="44" fontId="0" fillId="3" borderId="0" xfId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vertical="justify" wrapText="1"/>
    </xf>
    <xf numFmtId="0" fontId="0" fillId="3" borderId="0" xfId="0" applyFill="1" applyAlignment="1">
      <alignment horizontal="center" wrapText="1"/>
    </xf>
    <xf numFmtId="0" fontId="0" fillId="2" borderId="0" xfId="0" applyFill="1" applyAlignment="1">
      <alignment horizontal="center" vertical="top" wrapText="1"/>
    </xf>
    <xf numFmtId="9" fontId="0" fillId="3" borderId="0" xfId="0" applyNumberFormat="1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44" fontId="19" fillId="3" borderId="0" xfId="1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4" fillId="0" borderId="0" xfId="2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center" wrapText="1"/>
    </xf>
  </cellXfs>
  <cellStyles count="10">
    <cellStyle name="Hyperlink" xfId="2" builtinId="8"/>
    <cellStyle name="Procent" xfId="9" builtinId="5"/>
    <cellStyle name="Standaard" xfId="0" builtinId="0"/>
    <cellStyle name="Valuta" xfId="1" builtinId="4"/>
    <cellStyle name="Valuta 2" xfId="3"/>
    <cellStyle name="Valuta 3" xfId="4"/>
    <cellStyle name="Valuta 4" xfId="5"/>
    <cellStyle name="Valuta 5" xfId="6"/>
    <cellStyle name="Valuta 6" xfId="7"/>
    <cellStyle name="Valuta 7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kempen4/AppData/Local/Microsoft/Windows/Temporary%20Internet%20Files/Content.Outlook/2BKAYHXB/Eigen%20Bijdrage%20calculator%202.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begroting"/>
      <sheetName val="Raw Data - DO NOT EDIT"/>
      <sheetName val="Eigen Bijdrage calculator 2.0"/>
    </sheetNames>
    <sheetDataSet>
      <sheetData sheetId="0"/>
      <sheetData sheetId="1">
        <row r="2">
          <cell r="A2" t="str">
            <v>A10</v>
          </cell>
          <cell r="B2" t="str">
            <v>Geleidings-, infiltratie- en/of intraligamentaire verdoving</v>
          </cell>
          <cell r="C2">
            <v>13.45</v>
          </cell>
        </row>
        <row r="3">
          <cell r="A3" t="str">
            <v>A15</v>
          </cell>
          <cell r="B3" t="str">
            <v>Oppervlakte verdoving</v>
          </cell>
          <cell r="C3">
            <v>6.99</v>
          </cell>
        </row>
        <row r="4">
          <cell r="A4" t="str">
            <v>A20</v>
          </cell>
          <cell r="B4" t="str">
            <v>Behandeling onder algehele narcose</v>
          </cell>
          <cell r="C4">
            <v>22.68</v>
          </cell>
        </row>
        <row r="5">
          <cell r="A5" t="str">
            <v>B10</v>
          </cell>
          <cell r="B5" t="str">
            <v>Introductie roesje (lachgassedatie)</v>
          </cell>
          <cell r="C5">
            <v>26.89</v>
          </cell>
        </row>
        <row r="6">
          <cell r="A6" t="str">
            <v>B11</v>
          </cell>
          <cell r="B6" t="str">
            <v>Toediening roesje (lachgassedatie)</v>
          </cell>
          <cell r="C6">
            <v>26.89</v>
          </cell>
        </row>
        <row r="7">
          <cell r="A7" t="str">
            <v>B12</v>
          </cell>
          <cell r="B7" t="str">
            <v>Overheadkosten roesje (lachgassedatie)</v>
          </cell>
          <cell r="C7">
            <v>34.57</v>
          </cell>
        </row>
        <row r="8">
          <cell r="A8" t="str">
            <v>C11</v>
          </cell>
          <cell r="B8" t="str">
            <v>Periodieke controle</v>
          </cell>
          <cell r="C8">
            <v>20.440000000000001</v>
          </cell>
        </row>
        <row r="9">
          <cell r="A9" t="str">
            <v>C13</v>
          </cell>
          <cell r="B9" t="str">
            <v>Probleemgericht consult</v>
          </cell>
          <cell r="C9">
            <v>20.440000000000001</v>
          </cell>
        </row>
        <row r="10">
          <cell r="A10" t="str">
            <v>C22</v>
          </cell>
          <cell r="B10" t="str">
            <v>Aanvullende medische anamnese na (schriftelijke) routinevragen</v>
          </cell>
          <cell r="C10">
            <v>20.440000000000001</v>
          </cell>
        </row>
        <row r="11">
          <cell r="A11" t="str">
            <v>C28</v>
          </cell>
          <cell r="B11" t="str">
            <v>Uitgebreid onderzoek t.b.v. opstellen en vastleggen behandelplan</v>
          </cell>
          <cell r="C11">
            <v>96.81</v>
          </cell>
        </row>
        <row r="12">
          <cell r="A12" t="str">
            <v>C29</v>
          </cell>
          <cell r="B12" t="str">
            <v>Studiemodellen t.b.v. behandelplan</v>
          </cell>
          <cell r="C12">
            <v>26.89</v>
          </cell>
        </row>
        <row r="13">
          <cell r="A13" t="str">
            <v>C65</v>
          </cell>
          <cell r="B13" t="str">
            <v>Planmatig beslijpen van alle voortanden, per boven- of onderkaak</v>
          </cell>
          <cell r="C13">
            <v>53.79</v>
          </cell>
        </row>
        <row r="14">
          <cell r="A14" t="str">
            <v>C80</v>
          </cell>
          <cell r="B14" t="str">
            <v>Mondzorg aan huis</v>
          </cell>
          <cell r="C14">
            <v>16.14</v>
          </cell>
        </row>
        <row r="15">
          <cell r="A15" t="str">
            <v>C84</v>
          </cell>
          <cell r="B15" t="str">
            <v>Voorbereiding behandeling onder algehele narcose</v>
          </cell>
          <cell r="C15">
            <v>43.03</v>
          </cell>
        </row>
        <row r="16">
          <cell r="A16" t="str">
            <v>C85</v>
          </cell>
          <cell r="B16" t="str">
            <v>Weekendbehandeling</v>
          </cell>
          <cell r="C16">
            <v>20.440000000000001</v>
          </cell>
        </row>
        <row r="17">
          <cell r="A17" t="str">
            <v>C86</v>
          </cell>
          <cell r="B17" t="str">
            <v>Avondbehandeling</v>
          </cell>
          <cell r="C17">
            <v>20.440000000000001</v>
          </cell>
        </row>
        <row r="18">
          <cell r="A18" t="str">
            <v>C87</v>
          </cell>
          <cell r="B18" t="str">
            <v>Nachtbehandeling</v>
          </cell>
          <cell r="C18">
            <v>20.440000000000001</v>
          </cell>
        </row>
        <row r="19">
          <cell r="A19" t="str">
            <v>E01</v>
          </cell>
          <cell r="B19" t="str">
            <v>Wortelkanaalbehandeling consult</v>
          </cell>
          <cell r="C19">
            <v>20.440000000000001</v>
          </cell>
        </row>
        <row r="20">
          <cell r="A20" t="str">
            <v>E02</v>
          </cell>
          <cell r="B20" t="str">
            <v>Uitgebreid wortelkanaalbehandeling consult</v>
          </cell>
          <cell r="C20">
            <v>37.65</v>
          </cell>
        </row>
        <row r="21">
          <cell r="A21" t="str">
            <v>E03</v>
          </cell>
          <cell r="B21" t="str">
            <v>Consult na tandheelkundig ongeval</v>
          </cell>
          <cell r="C21">
            <v>29.58</v>
          </cell>
        </row>
        <row r="22">
          <cell r="A22" t="str">
            <v>E04</v>
          </cell>
          <cell r="B22" t="str">
            <v>Toeslag voor kosten bij gebruik van roterende nikkel-titanium instrumenten</v>
          </cell>
          <cell r="C22">
            <v>45.18</v>
          </cell>
        </row>
        <row r="23">
          <cell r="A23" t="str">
            <v>E13</v>
          </cell>
          <cell r="B23" t="str">
            <v>Wortelkanaalbehandeling per element met 1 kanaal</v>
          </cell>
          <cell r="C23">
            <v>96.81</v>
          </cell>
        </row>
        <row r="24">
          <cell r="A24" t="str">
            <v>E14</v>
          </cell>
          <cell r="B24" t="str">
            <v>Wortelkanaalbehandeling per element met 2 kanalen</v>
          </cell>
          <cell r="C24">
            <v>139.84</v>
          </cell>
        </row>
        <row r="25">
          <cell r="A25" t="str">
            <v>E16</v>
          </cell>
          <cell r="B25" t="str">
            <v>Wortelkanaalbehandeling per element met 3 kanalen</v>
          </cell>
          <cell r="C25">
            <v>182.87</v>
          </cell>
        </row>
        <row r="26">
          <cell r="A26" t="str">
            <v>E17</v>
          </cell>
          <cell r="B26" t="str">
            <v>Wortelkanaalbehandeling per element met 4 of meer kanalen</v>
          </cell>
          <cell r="C26">
            <v>225.9</v>
          </cell>
        </row>
        <row r="27">
          <cell r="A27" t="str">
            <v>E19</v>
          </cell>
          <cell r="B27" t="str">
            <v>Insluiten calciumhydroxide of daarmee vergelijkbare desinfectans per element, per zitting</v>
          </cell>
          <cell r="C27">
            <v>16.14</v>
          </cell>
        </row>
        <row r="28">
          <cell r="A28" t="str">
            <v>E31</v>
          </cell>
          <cell r="B28" t="str">
            <v>Snij-/hoektand</v>
          </cell>
          <cell r="C28">
            <v>107.57</v>
          </cell>
        </row>
        <row r="29">
          <cell r="A29" t="str">
            <v>E32</v>
          </cell>
          <cell r="B29" t="str">
            <v>Premolaar</v>
          </cell>
          <cell r="C29">
            <v>150.6</v>
          </cell>
        </row>
        <row r="30">
          <cell r="A30" t="str">
            <v>E33</v>
          </cell>
          <cell r="B30" t="str">
            <v>Molaar</v>
          </cell>
          <cell r="C30">
            <v>193.63</v>
          </cell>
        </row>
        <row r="31">
          <cell r="A31" t="str">
            <v>E34</v>
          </cell>
          <cell r="B31" t="str">
            <v>Aanbrengen retrograde vulling</v>
          </cell>
          <cell r="C31">
            <v>21.51</v>
          </cell>
        </row>
        <row r="32">
          <cell r="A32" t="str">
            <v>E36</v>
          </cell>
          <cell r="B32" t="str">
            <v>Het trekken van een element met re-implantatie</v>
          </cell>
          <cell r="C32">
            <v>75.3</v>
          </cell>
        </row>
        <row r="33">
          <cell r="A33" t="str">
            <v>E37</v>
          </cell>
          <cell r="B33" t="str">
            <v>Kijkoperatie</v>
          </cell>
          <cell r="C33">
            <v>64.540000000000006</v>
          </cell>
        </row>
        <row r="34">
          <cell r="A34" t="str">
            <v>E40</v>
          </cell>
          <cell r="B34" t="str">
            <v>Directe pulpa-overkapping</v>
          </cell>
          <cell r="C34">
            <v>26.89</v>
          </cell>
        </row>
        <row r="35">
          <cell r="A35" t="str">
            <v>E42</v>
          </cell>
          <cell r="B35" t="str">
            <v>Terugzetten van een verplaatst element na tandheelkundig ongeval</v>
          </cell>
          <cell r="C35">
            <v>10.76</v>
          </cell>
        </row>
        <row r="36">
          <cell r="A36" t="str">
            <v>E43</v>
          </cell>
          <cell r="B36" t="str">
            <v>Vastzetten element d.m.v. een spalk na tandheelkundig ongeval</v>
          </cell>
          <cell r="C36">
            <v>21.51</v>
          </cell>
        </row>
        <row r="37">
          <cell r="A37" t="str">
            <v>E44</v>
          </cell>
          <cell r="B37" t="str">
            <v>Verwijderen spalk</v>
          </cell>
          <cell r="C37">
            <v>5.38</v>
          </cell>
        </row>
        <row r="38">
          <cell r="A38" t="str">
            <v>E45</v>
          </cell>
          <cell r="B38" t="str">
            <v>Aanbrengen rubberdam</v>
          </cell>
          <cell r="C38">
            <v>10.76</v>
          </cell>
        </row>
        <row r="39">
          <cell r="A39" t="str">
            <v>E51</v>
          </cell>
          <cell r="B39" t="str">
            <v>Verwijderen van kroon of brug</v>
          </cell>
          <cell r="C39">
            <v>32.270000000000003</v>
          </cell>
        </row>
        <row r="40">
          <cell r="A40" t="str">
            <v>E52</v>
          </cell>
          <cell r="B40" t="str">
            <v>Moeilijke wortelkanaalopening</v>
          </cell>
          <cell r="C40">
            <v>26.89</v>
          </cell>
        </row>
        <row r="41">
          <cell r="A41" t="str">
            <v>E53</v>
          </cell>
          <cell r="B41" t="str">
            <v>Verwijderen van wortelstift</v>
          </cell>
          <cell r="C41">
            <v>37.65</v>
          </cell>
        </row>
        <row r="42">
          <cell r="A42" t="str">
            <v>E54</v>
          </cell>
          <cell r="B42" t="str">
            <v>Verwijderen van wortelkanaalvulmateriaal</v>
          </cell>
          <cell r="C42">
            <v>26.89</v>
          </cell>
        </row>
        <row r="43">
          <cell r="A43" t="str">
            <v>E55</v>
          </cell>
          <cell r="B43" t="str">
            <v>Behandeling dichtgeslibd of verkalkt wortelkanaal</v>
          </cell>
          <cell r="C43">
            <v>26.89</v>
          </cell>
        </row>
        <row r="44">
          <cell r="A44" t="str">
            <v>E56</v>
          </cell>
          <cell r="B44" t="str">
            <v>Voortgezette behandeling met iatrogene schade</v>
          </cell>
          <cell r="C44">
            <v>37.65</v>
          </cell>
        </row>
        <row r="45">
          <cell r="A45" t="str">
            <v>E57</v>
          </cell>
          <cell r="B45" t="str">
            <v>Behandeling van element met uitzonderlijke anatomie</v>
          </cell>
          <cell r="C45">
            <v>26.89</v>
          </cell>
        </row>
        <row r="46">
          <cell r="A46" t="str">
            <v>E60</v>
          </cell>
          <cell r="B46" t="str">
            <v>Geheel of gedeeltelijk weghalen van pulpaweefsel</v>
          </cell>
          <cell r="C46">
            <v>43.03</v>
          </cell>
        </row>
        <row r="47">
          <cell r="A47" t="str">
            <v>E61</v>
          </cell>
          <cell r="B47" t="str">
            <v>Behandelen van open wortelpunt met calciumhydroxide, eerste zitting</v>
          </cell>
          <cell r="C47">
            <v>75.3</v>
          </cell>
        </row>
        <row r="48">
          <cell r="A48" t="str">
            <v>E62</v>
          </cell>
          <cell r="B48" t="str">
            <v>Behandelen van open wortelpunt met calciumhydroxide, elke volgende zitting</v>
          </cell>
          <cell r="C48">
            <v>48.41</v>
          </cell>
        </row>
        <row r="49">
          <cell r="A49" t="str">
            <v>E63</v>
          </cell>
          <cell r="B49" t="str">
            <v>Toeslag voor afsluiting met Mineral Trioxide Aggregate (MTA) of een vergelijkbaar biokeramisch materiaal</v>
          </cell>
          <cell r="C49">
            <v>40.340000000000003</v>
          </cell>
        </row>
        <row r="50">
          <cell r="A50" t="str">
            <v>E64</v>
          </cell>
          <cell r="B50" t="str">
            <v>Afsluiting van open wortelpunt</v>
          </cell>
          <cell r="C50">
            <v>43.03</v>
          </cell>
        </row>
        <row r="51">
          <cell r="A51" t="str">
            <v>E66</v>
          </cell>
          <cell r="B51" t="str">
            <v>Wortelkanaalbehandeling van melkelement</v>
          </cell>
          <cell r="C51">
            <v>43.03</v>
          </cell>
        </row>
        <row r="52">
          <cell r="A52" t="str">
            <v>E77</v>
          </cell>
          <cell r="B52" t="str">
            <v>Initiële wortelkanaalbehandeling, eerste kanaal</v>
          </cell>
          <cell r="C52">
            <v>53.79</v>
          </cell>
        </row>
        <row r="53">
          <cell r="A53" t="str">
            <v>E78</v>
          </cell>
          <cell r="B53" t="str">
            <v>Initiële wortelkanaalbehandeling, elk volgend kanaal</v>
          </cell>
          <cell r="C53">
            <v>26.89</v>
          </cell>
        </row>
        <row r="54">
          <cell r="A54" t="str">
            <v>E85</v>
          </cell>
          <cell r="B54" t="str">
            <v>Elektronische lengtebepaling</v>
          </cell>
          <cell r="C54">
            <v>13.45</v>
          </cell>
        </row>
        <row r="55">
          <cell r="A55" t="str">
            <v>E86</v>
          </cell>
          <cell r="B55" t="str">
            <v>Gebruik operatiemicroscoop bij wortelkanaalbehandeling</v>
          </cell>
          <cell r="C55">
            <v>72.599999999999994</v>
          </cell>
        </row>
        <row r="56">
          <cell r="A56" t="str">
            <v>E87</v>
          </cell>
          <cell r="B56" t="str">
            <v>Gebruiksklaar maken van praktijkruimte voor wortelkanaalbehandeling</v>
          </cell>
          <cell r="C56">
            <v>53.79</v>
          </cell>
        </row>
        <row r="57">
          <cell r="A57" t="str">
            <v>E90</v>
          </cell>
          <cell r="B57" t="str">
            <v>Inwendig bleken, eerste zitting</v>
          </cell>
          <cell r="C57">
            <v>43.03</v>
          </cell>
        </row>
        <row r="58">
          <cell r="A58" t="str">
            <v>E95</v>
          </cell>
          <cell r="B58" t="str">
            <v>Inwendig bleken, elke volgende zitting</v>
          </cell>
          <cell r="C58">
            <v>16.14</v>
          </cell>
        </row>
        <row r="59">
          <cell r="A59" t="str">
            <v>E97</v>
          </cell>
          <cell r="B59" t="str">
            <v>Uitwendig bleken per kaak</v>
          </cell>
          <cell r="C59">
            <v>67.23</v>
          </cell>
        </row>
        <row r="60">
          <cell r="A60" t="str">
            <v>E98</v>
          </cell>
          <cell r="B60" t="str">
            <v>Materialen voor thuisbleken</v>
          </cell>
          <cell r="C60" t="str">
            <v>Kostprijs</v>
          </cell>
        </row>
        <row r="61">
          <cell r="A61" t="str">
            <v>G01</v>
          </cell>
          <cell r="B61" t="str">
            <v>Uitgebreid functie-onderzoek (UFO)</v>
          </cell>
          <cell r="C61">
            <v>134.46</v>
          </cell>
        </row>
        <row r="62">
          <cell r="A62" t="str">
            <v>G02</v>
          </cell>
          <cell r="B62" t="str">
            <v>Spieractiviteitsmeting en registratie</v>
          </cell>
          <cell r="C62">
            <v>86.06</v>
          </cell>
        </row>
        <row r="63">
          <cell r="A63" t="str">
            <v>G03</v>
          </cell>
          <cell r="B63" t="str">
            <v>Gedocumenteerde verwijzing kaakgewrichtsbehandeling</v>
          </cell>
          <cell r="C63">
            <v>59.16</v>
          </cell>
        </row>
        <row r="64">
          <cell r="A64" t="str">
            <v>G10</v>
          </cell>
          <cell r="B64" t="str">
            <v>Niet-standaard beetregistratie</v>
          </cell>
          <cell r="C64">
            <v>80.680000000000007</v>
          </cell>
        </row>
        <row r="65">
          <cell r="A65" t="str">
            <v>G11</v>
          </cell>
          <cell r="B65" t="str">
            <v>Scharnierasbepaling</v>
          </cell>
          <cell r="C65">
            <v>80.680000000000007</v>
          </cell>
        </row>
        <row r="66">
          <cell r="A66" t="str">
            <v>G12</v>
          </cell>
          <cell r="B66" t="str">
            <v>Centrale relatiebepaling</v>
          </cell>
          <cell r="C66">
            <v>75.3</v>
          </cell>
        </row>
        <row r="67">
          <cell r="A67" t="str">
            <v>G13</v>
          </cell>
          <cell r="B67" t="str">
            <v>Protrale/laterale bepalingen</v>
          </cell>
          <cell r="C67">
            <v>53.79</v>
          </cell>
        </row>
        <row r="68">
          <cell r="A68" t="str">
            <v>G14</v>
          </cell>
          <cell r="B68" t="str">
            <v>Instellen volledig instelbare articulator, pantograaf en registratie</v>
          </cell>
          <cell r="C68">
            <v>484.07</v>
          </cell>
        </row>
        <row r="69">
          <cell r="A69" t="str">
            <v>G15</v>
          </cell>
          <cell r="B69" t="str">
            <v>Toeslag voor het behouden van beethoogte</v>
          </cell>
          <cell r="C69">
            <v>26.89</v>
          </cell>
        </row>
        <row r="70">
          <cell r="A70" t="str">
            <v>G16</v>
          </cell>
          <cell r="B70" t="str">
            <v>Therapeutische positiebepaling</v>
          </cell>
          <cell r="C70">
            <v>26.89</v>
          </cell>
        </row>
        <row r="71">
          <cell r="A71" t="str">
            <v>G20</v>
          </cell>
          <cell r="B71" t="str">
            <v>Beetregistratie intra-oraal</v>
          </cell>
          <cell r="C71">
            <v>53.79</v>
          </cell>
        </row>
        <row r="72">
          <cell r="A72" t="str">
            <v>G33</v>
          </cell>
          <cell r="B72" t="str">
            <v>Aanbrengen front/hoektandgeleiding</v>
          </cell>
          <cell r="C72">
            <v>53.79</v>
          </cell>
        </row>
        <row r="73">
          <cell r="A73" t="str">
            <v>G61</v>
          </cell>
          <cell r="B73" t="str">
            <v>Instructie spieroefeningen</v>
          </cell>
          <cell r="C73">
            <v>53.79</v>
          </cell>
        </row>
        <row r="74">
          <cell r="A74" t="str">
            <v>G62</v>
          </cell>
          <cell r="B74" t="str">
            <v>Occlusale spalk</v>
          </cell>
          <cell r="C74">
            <v>145.22</v>
          </cell>
        </row>
        <row r="75">
          <cell r="A75" t="str">
            <v>G63</v>
          </cell>
          <cell r="B75" t="str">
            <v>Repositiespalk</v>
          </cell>
          <cell r="C75">
            <v>215.14</v>
          </cell>
        </row>
        <row r="76">
          <cell r="A76" t="str">
            <v>G64</v>
          </cell>
          <cell r="B76" t="str">
            <v>Controlebezoek spalk inclusief kleine correcties</v>
          </cell>
          <cell r="C76">
            <v>26.89</v>
          </cell>
        </row>
        <row r="77">
          <cell r="A77" t="str">
            <v>G65</v>
          </cell>
          <cell r="B77" t="str">
            <v>Indirect planmatig inslijpen</v>
          </cell>
          <cell r="C77">
            <v>295.82</v>
          </cell>
        </row>
        <row r="78">
          <cell r="A78" t="str">
            <v>G66</v>
          </cell>
          <cell r="B78" t="str">
            <v>Biofeedbacktherapie</v>
          </cell>
          <cell r="C78">
            <v>48.41</v>
          </cell>
        </row>
        <row r="79">
          <cell r="A79" t="str">
            <v>G67</v>
          </cell>
          <cell r="B79" t="str">
            <v>Behandeling triggerpoint</v>
          </cell>
          <cell r="C79">
            <v>59.16</v>
          </cell>
        </row>
        <row r="80">
          <cell r="A80" t="str">
            <v>G69</v>
          </cell>
          <cell r="B80" t="str">
            <v>Opbeetplaat</v>
          </cell>
          <cell r="C80">
            <v>59.16</v>
          </cell>
        </row>
        <row r="81">
          <cell r="A81" t="str">
            <v>G71</v>
          </cell>
          <cell r="B81" t="str">
            <v>Apparaat voor snurk- en slaapstoornissen (MRA)</v>
          </cell>
          <cell r="C81">
            <v>268.93</v>
          </cell>
        </row>
        <row r="82">
          <cell r="A82" t="str">
            <v>G72</v>
          </cell>
          <cell r="B82" t="str">
            <v>Controlebezoek MRA</v>
          </cell>
          <cell r="C82">
            <v>26.89</v>
          </cell>
        </row>
        <row r="83">
          <cell r="A83" t="str">
            <v>G73</v>
          </cell>
          <cell r="B83" t="str">
            <v>Reparatie MRA met afdruk</v>
          </cell>
          <cell r="C83">
            <v>43.03</v>
          </cell>
        </row>
        <row r="84">
          <cell r="A84" t="str">
            <v>H11</v>
          </cell>
          <cell r="B84" t="str">
            <v>Trekken tand of kies</v>
          </cell>
          <cell r="C84">
            <v>40.340000000000003</v>
          </cell>
        </row>
        <row r="85">
          <cell r="A85" t="str">
            <v>H16</v>
          </cell>
          <cell r="B85" t="str">
            <v>Trekken volgende tand of kies, in dezelfde zitting en hetzelfde kwadrant</v>
          </cell>
          <cell r="C85">
            <v>30.12</v>
          </cell>
        </row>
        <row r="86">
          <cell r="A86" t="str">
            <v>H21</v>
          </cell>
          <cell r="B86" t="str">
            <v>Kosten hechtmateriaal</v>
          </cell>
          <cell r="C86">
            <v>5.72</v>
          </cell>
        </row>
        <row r="87">
          <cell r="A87" t="str">
            <v>H26</v>
          </cell>
          <cell r="B87" t="str">
            <v>Hechten weke delen</v>
          </cell>
          <cell r="C87">
            <v>59.16</v>
          </cell>
        </row>
        <row r="88">
          <cell r="A88" t="str">
            <v>H35</v>
          </cell>
          <cell r="B88" t="str">
            <v>Moeizaam trekken tand of kies, met mucoperiostale opklap</v>
          </cell>
          <cell r="C88">
            <v>64.540000000000006</v>
          </cell>
        </row>
        <row r="89">
          <cell r="A89" t="str">
            <v>H40</v>
          </cell>
          <cell r="B89" t="str">
            <v>Corrigeren van de vorm van de kaak, per kaak</v>
          </cell>
          <cell r="C89">
            <v>48.41</v>
          </cell>
        </row>
        <row r="90">
          <cell r="A90" t="str">
            <v>H41</v>
          </cell>
          <cell r="B90" t="str">
            <v>Verwijderen van het lipbandje of tongriempje</v>
          </cell>
          <cell r="C90">
            <v>32.270000000000003</v>
          </cell>
        </row>
        <row r="91">
          <cell r="A91" t="str">
            <v>H42</v>
          </cell>
          <cell r="B91" t="str">
            <v>Wortelpuntoperatie, per tandwortel, zonder afsluiting</v>
          </cell>
          <cell r="C91">
            <v>64.540000000000006</v>
          </cell>
        </row>
        <row r="92">
          <cell r="A92" t="str">
            <v>H43</v>
          </cell>
          <cell r="B92" t="str">
            <v>Wortelpuntoperatie, per tandwortel, met ante of retrograde afsluiting</v>
          </cell>
          <cell r="C92">
            <v>86.06</v>
          </cell>
        </row>
        <row r="93">
          <cell r="A93" t="str">
            <v>H44</v>
          </cell>
          <cell r="B93" t="str">
            <v>Primaire antrumsluiting</v>
          </cell>
          <cell r="C93">
            <v>59.16</v>
          </cell>
        </row>
        <row r="94">
          <cell r="A94" t="str">
            <v>H50</v>
          </cell>
          <cell r="B94" t="str">
            <v>Terugzetten/terugplaatsen tand of kies, eerste element, exclusief wortelkanaalbehandeling</v>
          </cell>
          <cell r="C94">
            <v>53.79</v>
          </cell>
        </row>
        <row r="95">
          <cell r="A95" t="str">
            <v>H55</v>
          </cell>
          <cell r="B95" t="str">
            <v>Terugzetten/terugplaatsen tand of kies, buurelement, exclusief wortelkanaalbehandeling</v>
          </cell>
          <cell r="C95">
            <v>16.14</v>
          </cell>
        </row>
        <row r="96">
          <cell r="A96" t="str">
            <v>H59</v>
          </cell>
          <cell r="B96" t="str">
            <v>Behandeling kaakbreuk, per kaak</v>
          </cell>
          <cell r="C96">
            <v>75.3</v>
          </cell>
        </row>
        <row r="97">
          <cell r="A97" t="str">
            <v>H60</v>
          </cell>
          <cell r="B97" t="str">
            <v>Marsupialisatie</v>
          </cell>
          <cell r="C97">
            <v>75.3</v>
          </cell>
        </row>
        <row r="98">
          <cell r="A98" t="str">
            <v>H65</v>
          </cell>
          <cell r="B98" t="str">
            <v>Primaire sluiting</v>
          </cell>
          <cell r="C98">
            <v>145.22</v>
          </cell>
        </row>
        <row r="99">
          <cell r="A99" t="str">
            <v>H70</v>
          </cell>
          <cell r="B99" t="str">
            <v>Lappige fibromen, Schlotterkamm, tubercorrectie e.d., enkelzijdig per kaak</v>
          </cell>
          <cell r="C99">
            <v>75.3</v>
          </cell>
        </row>
        <row r="100">
          <cell r="A100" t="str">
            <v>H75</v>
          </cell>
          <cell r="B100" t="str">
            <v>Lappige fibromen, Schlotterkamm, tubercorrectie e.d., dubbelzijdig per kaak</v>
          </cell>
          <cell r="C100">
            <v>145.22</v>
          </cell>
        </row>
        <row r="101">
          <cell r="A101" t="str">
            <v>H80</v>
          </cell>
          <cell r="B101" t="str">
            <v>Alveolotomie torus, vergelijkbare praeprothetische botcorrecties, enkelzijdig per kaak</v>
          </cell>
          <cell r="C101">
            <v>102.19</v>
          </cell>
        </row>
        <row r="102">
          <cell r="A102" t="str">
            <v>H85</v>
          </cell>
          <cell r="B102" t="str">
            <v>Alveolotomie torus, vergelijkbare praeprothetische botcorrecties, dubbelzijdig per kaak</v>
          </cell>
          <cell r="C102">
            <v>172.11</v>
          </cell>
        </row>
        <row r="103">
          <cell r="A103" t="str">
            <v>H90</v>
          </cell>
          <cell r="B103" t="str">
            <v>Voorbereiding praktijkruimte ten behoeve van chirurgische verrichtingen vallend onder onderdeel B</v>
          </cell>
          <cell r="C103">
            <v>53.79</v>
          </cell>
        </row>
        <row r="104">
          <cell r="A104" t="str">
            <v>J01</v>
          </cell>
          <cell r="B104" t="str">
            <v>Initieel onderzoek implantologie</v>
          </cell>
          <cell r="C104">
            <v>59.72</v>
          </cell>
        </row>
        <row r="105">
          <cell r="A105" t="str">
            <v>J02</v>
          </cell>
          <cell r="B105" t="str">
            <v>Verlengd onderzoek implantologie</v>
          </cell>
          <cell r="C105">
            <v>91.87</v>
          </cell>
        </row>
        <row r="106">
          <cell r="A106" t="str">
            <v>J03</v>
          </cell>
          <cell r="B106" t="str">
            <v>Proefopstelling</v>
          </cell>
          <cell r="C106">
            <v>124.02</v>
          </cell>
        </row>
        <row r="107">
          <cell r="A107" t="str">
            <v>J05</v>
          </cell>
          <cell r="B107" t="str">
            <v>Implantaatpositionering op grond van CT-scan</v>
          </cell>
          <cell r="C107">
            <v>41.34</v>
          </cell>
        </row>
        <row r="108">
          <cell r="A108" t="str">
            <v>J06</v>
          </cell>
          <cell r="B108" t="str">
            <v>Vrijleggen foramen mentale</v>
          </cell>
          <cell r="C108">
            <v>27.56</v>
          </cell>
        </row>
        <row r="109">
          <cell r="A109" t="str">
            <v>J07</v>
          </cell>
          <cell r="B109" t="str">
            <v>Toeslag kosten boren voor eenmalig gebruik</v>
          </cell>
          <cell r="C109" t="str">
            <v>Kostprijs</v>
          </cell>
        </row>
        <row r="110">
          <cell r="A110" t="str">
            <v>J08</v>
          </cell>
          <cell r="B110" t="str">
            <v>Aanbrengen botvervangers in extractie wond</v>
          </cell>
          <cell r="C110">
            <v>18.37</v>
          </cell>
        </row>
        <row r="111">
          <cell r="A111" t="str">
            <v>J09</v>
          </cell>
          <cell r="B111" t="str">
            <v>Ophoging bodem bijholte, eerste kaakhelft</v>
          </cell>
          <cell r="C111">
            <v>220.49</v>
          </cell>
        </row>
        <row r="112">
          <cell r="A112" t="str">
            <v>J10</v>
          </cell>
          <cell r="B112" t="str">
            <v>Ophoging bodem bijholte, tweede kaakhelft in dezelfde zitting</v>
          </cell>
          <cell r="C112">
            <v>137.80000000000001</v>
          </cell>
        </row>
        <row r="113">
          <cell r="A113" t="str">
            <v>J11</v>
          </cell>
          <cell r="B113" t="str">
            <v>Prepareren donorplaats</v>
          </cell>
          <cell r="C113">
            <v>124.02</v>
          </cell>
        </row>
        <row r="114">
          <cell r="A114" t="str">
            <v>J12</v>
          </cell>
          <cell r="B114" t="str">
            <v>Kaakverbreding en/of verhoging in frontregio of eerste kaakhelft</v>
          </cell>
          <cell r="C114">
            <v>133.21</v>
          </cell>
        </row>
        <row r="115">
          <cell r="A115" t="str">
            <v>J13</v>
          </cell>
          <cell r="B115" t="str">
            <v>Kaakverbreding en/of verhoging, in tweede kaakhelft in dezelfde zitting</v>
          </cell>
          <cell r="C115">
            <v>64.31</v>
          </cell>
        </row>
        <row r="116">
          <cell r="A116" t="str">
            <v>J15</v>
          </cell>
          <cell r="B116" t="str">
            <v>Kaakverbreding en/of verhoging in frontregio of eerste kaakhelft</v>
          </cell>
          <cell r="C116">
            <v>78.09</v>
          </cell>
        </row>
        <row r="117">
          <cell r="A117" t="str">
            <v>J16</v>
          </cell>
          <cell r="B117" t="str">
            <v>Kaakverbreding en/of verhoging in tweede kaakhelft</v>
          </cell>
          <cell r="C117">
            <v>78.09</v>
          </cell>
        </row>
        <row r="118">
          <cell r="A118" t="str">
            <v>J17</v>
          </cell>
          <cell r="B118" t="str">
            <v>Aanvullende ophoging bodem bijholte</v>
          </cell>
          <cell r="C118">
            <v>119.43</v>
          </cell>
        </row>
        <row r="119">
          <cell r="A119" t="str">
            <v>J18</v>
          </cell>
          <cell r="B119" t="str">
            <v>Ophoging bodem bijholte orthograad</v>
          </cell>
          <cell r="C119">
            <v>55.12</v>
          </cell>
        </row>
        <row r="120">
          <cell r="A120" t="str">
            <v>J19</v>
          </cell>
          <cell r="B120" t="str">
            <v>Toeslag esthetische zone</v>
          </cell>
          <cell r="C120">
            <v>59.72</v>
          </cell>
        </row>
        <row r="121">
          <cell r="A121" t="str">
            <v>J20</v>
          </cell>
          <cell r="B121" t="str">
            <v>Plaatsen eerste implantaat, per kaak</v>
          </cell>
          <cell r="C121">
            <v>209.92</v>
          </cell>
        </row>
        <row r="122">
          <cell r="A122" t="str">
            <v>J21</v>
          </cell>
          <cell r="B122" t="str">
            <v>Plaatsen elk volgend implantaat in dezelfde kaak, door dezelfde wond</v>
          </cell>
          <cell r="C122">
            <v>75.33</v>
          </cell>
        </row>
        <row r="123">
          <cell r="A123" t="str">
            <v>J22</v>
          </cell>
          <cell r="B123" t="str">
            <v>Plaatsen elk volgend implantaat in dezelfde kaak, andere wond</v>
          </cell>
          <cell r="C123">
            <v>105.65</v>
          </cell>
        </row>
        <row r="124">
          <cell r="A124" t="str">
            <v>J23</v>
          </cell>
          <cell r="B124" t="str">
            <v>Plaatsen eerste Healing Abutment (wondheler)</v>
          </cell>
          <cell r="C124">
            <v>68.900000000000006</v>
          </cell>
        </row>
        <row r="125">
          <cell r="A125" t="str">
            <v>J24</v>
          </cell>
          <cell r="B125" t="str">
            <v>Plaatsen volgende Healing Abutment (wondheler), dezelfde wond</v>
          </cell>
          <cell r="C125">
            <v>22.97</v>
          </cell>
        </row>
        <row r="126">
          <cell r="A126" t="str">
            <v>J25</v>
          </cell>
          <cell r="B126" t="str">
            <v>Plaatsen volgende Healing Abutment (wondheler), andere wond</v>
          </cell>
          <cell r="C126">
            <v>41.34</v>
          </cell>
        </row>
        <row r="127">
          <cell r="A127" t="str">
            <v>J26</v>
          </cell>
          <cell r="B127" t="str">
            <v>Moeizaam verwijderen implantaat</v>
          </cell>
          <cell r="C127">
            <v>151.58000000000001</v>
          </cell>
        </row>
        <row r="128">
          <cell r="A128" t="str">
            <v>J27</v>
          </cell>
          <cell r="B128" t="str">
            <v>Vervangen implantaat</v>
          </cell>
          <cell r="C128">
            <v>209.92</v>
          </cell>
        </row>
        <row r="129">
          <cell r="A129" t="str">
            <v>J30</v>
          </cell>
          <cell r="B129" t="str">
            <v>Bindweefseltransplantaat, eerste</v>
          </cell>
          <cell r="C129">
            <v>96.46</v>
          </cell>
        </row>
        <row r="130">
          <cell r="A130" t="str">
            <v>J31</v>
          </cell>
          <cell r="B130" t="str">
            <v>Volgende bindweefseltransplantaat</v>
          </cell>
          <cell r="C130">
            <v>45.93</v>
          </cell>
        </row>
        <row r="131">
          <cell r="A131" t="str">
            <v>J32</v>
          </cell>
          <cell r="B131" t="str">
            <v>Verwijderen gefractureerd abutment/occlusale schroef</v>
          </cell>
          <cell r="C131">
            <v>105.65</v>
          </cell>
        </row>
        <row r="132">
          <cell r="A132" t="str">
            <v>J33</v>
          </cell>
          <cell r="B132" t="str">
            <v>Kosten implantaat</v>
          </cell>
          <cell r="C132">
            <v>290</v>
          </cell>
        </row>
        <row r="133">
          <cell r="A133" t="str">
            <v>J40</v>
          </cell>
          <cell r="B133" t="str">
            <v>Twee magneten/drukknoppen</v>
          </cell>
          <cell r="C133">
            <v>142.4</v>
          </cell>
        </row>
        <row r="134">
          <cell r="A134" t="str">
            <v>J41</v>
          </cell>
          <cell r="B134" t="str">
            <v>Elke volgende magneet, drukknop</v>
          </cell>
          <cell r="C134">
            <v>32.15</v>
          </cell>
        </row>
        <row r="135">
          <cell r="A135" t="str">
            <v>J42</v>
          </cell>
          <cell r="B135" t="str">
            <v>Staaf tussen twee implantaten</v>
          </cell>
          <cell r="C135">
            <v>188.33</v>
          </cell>
        </row>
        <row r="136">
          <cell r="A136" t="str">
            <v>J43</v>
          </cell>
          <cell r="B136" t="str">
            <v>Elke volgende staaf tussen implantaten in dezelfde kaak</v>
          </cell>
          <cell r="C136">
            <v>59.72</v>
          </cell>
        </row>
        <row r="137">
          <cell r="A137" t="str">
            <v>J44</v>
          </cell>
          <cell r="B137" t="str">
            <v>Plaatsen opbouw ten behoeve van implantaatkroon</v>
          </cell>
          <cell r="C137">
            <v>22.97</v>
          </cell>
        </row>
        <row r="138">
          <cell r="A138" t="str">
            <v>J50</v>
          </cell>
          <cell r="B138" t="str">
            <v>Boven- en onder klikgebit</v>
          </cell>
          <cell r="C138">
            <v>473.13</v>
          </cell>
        </row>
        <row r="139">
          <cell r="A139" t="str">
            <v>J51</v>
          </cell>
          <cell r="B139" t="str">
            <v>Onder-klikgebit</v>
          </cell>
          <cell r="C139">
            <v>307.76</v>
          </cell>
        </row>
        <row r="140">
          <cell r="A140" t="str">
            <v>J52</v>
          </cell>
          <cell r="B140" t="str">
            <v>Boven-klikgebit</v>
          </cell>
          <cell r="C140">
            <v>307.76</v>
          </cell>
        </row>
        <row r="141">
          <cell r="A141" t="str">
            <v>J53</v>
          </cell>
          <cell r="B141" t="str">
            <v>Omvorming klikgebit</v>
          </cell>
          <cell r="C141">
            <v>91.87</v>
          </cell>
        </row>
        <row r="142">
          <cell r="A142" t="str">
            <v>J54</v>
          </cell>
          <cell r="B142" t="str">
            <v>Omvorming klikgebit bij staven tussen twee implantaten</v>
          </cell>
          <cell r="C142">
            <v>119.43</v>
          </cell>
        </row>
        <row r="143">
          <cell r="A143" t="str">
            <v>J55</v>
          </cell>
          <cell r="B143" t="str">
            <v>Omvorming klikgebit bij staven tussen drie of vier implantaten</v>
          </cell>
          <cell r="C143">
            <v>137.80000000000001</v>
          </cell>
        </row>
        <row r="144">
          <cell r="A144" t="str">
            <v>J56</v>
          </cell>
          <cell r="B144" t="str">
            <v>Omvorming klikgebit bij staven tussen meer dan vier implantaten</v>
          </cell>
          <cell r="C144">
            <v>160.77000000000001</v>
          </cell>
        </row>
        <row r="145">
          <cell r="A145" t="str">
            <v>J57</v>
          </cell>
          <cell r="B145" t="str">
            <v>Toeslag vervangings- klikgebit op bestaande stegconstructie tussen twee implantaten</v>
          </cell>
          <cell r="C145">
            <v>78.09</v>
          </cell>
        </row>
        <row r="146">
          <cell r="A146" t="str">
            <v>J58</v>
          </cell>
          <cell r="B146" t="str">
            <v>Toeslag vervangings- klikgebit op bestaande stegcontructie tussen drie of vier implantaten</v>
          </cell>
          <cell r="C146">
            <v>101.06</v>
          </cell>
        </row>
        <row r="147">
          <cell r="A147" t="str">
            <v>J59</v>
          </cell>
          <cell r="B147" t="str">
            <v>Toeslag vervangings- klikgebit op bestaande stegcontructie tussen meer dan vier implantaten</v>
          </cell>
          <cell r="C147">
            <v>124.02</v>
          </cell>
        </row>
        <row r="148">
          <cell r="A148" t="str">
            <v>J60</v>
          </cell>
          <cell r="B148" t="str">
            <v>Specifiek consult nazorg implantologie</v>
          </cell>
          <cell r="C148">
            <v>50.53</v>
          </cell>
        </row>
        <row r="149">
          <cell r="A149" t="str">
            <v>J61</v>
          </cell>
          <cell r="B149" t="str">
            <v>Uitgebreid consult nazorg implantologie</v>
          </cell>
          <cell r="C149">
            <v>82.68</v>
          </cell>
        </row>
        <row r="150">
          <cell r="A150" t="str">
            <v>J70</v>
          </cell>
          <cell r="B150" t="str">
            <v>Opvullen zonder staafdemontage</v>
          </cell>
          <cell r="C150">
            <v>128.62</v>
          </cell>
        </row>
        <row r="151">
          <cell r="A151" t="str">
            <v>J71</v>
          </cell>
          <cell r="B151" t="str">
            <v>Opvullen met staafdemontage op twee implantaten</v>
          </cell>
          <cell r="C151">
            <v>160.77000000000001</v>
          </cell>
        </row>
        <row r="152">
          <cell r="A152" t="str">
            <v>J72</v>
          </cell>
          <cell r="B152" t="str">
            <v>Opvullen met staafdemontage op drie of vier implantaten</v>
          </cell>
          <cell r="C152">
            <v>183.74</v>
          </cell>
        </row>
        <row r="153">
          <cell r="A153" t="str">
            <v>J73</v>
          </cell>
          <cell r="B153" t="str">
            <v>Opvullen met staafdemontage op meer dan vier implantaten</v>
          </cell>
          <cell r="C153">
            <v>206.71</v>
          </cell>
        </row>
        <row r="154">
          <cell r="A154" t="str">
            <v>J74</v>
          </cell>
          <cell r="B154" t="str">
            <v>Reparatie zonder staafdemontage</v>
          </cell>
          <cell r="C154">
            <v>50.53</v>
          </cell>
        </row>
        <row r="155">
          <cell r="A155" t="str">
            <v>J75</v>
          </cell>
          <cell r="B155" t="str">
            <v>Reparatie met staafdemontage op twee implantaten</v>
          </cell>
          <cell r="C155">
            <v>96.46</v>
          </cell>
        </row>
        <row r="156">
          <cell r="A156" t="str">
            <v>J76</v>
          </cell>
          <cell r="B156" t="str">
            <v>Reparatie met staafdemontage op drie of vier implantaten</v>
          </cell>
          <cell r="C156">
            <v>119.43</v>
          </cell>
        </row>
        <row r="157">
          <cell r="A157" t="str">
            <v>J77</v>
          </cell>
          <cell r="B157" t="str">
            <v>Reparatie met staafdemontage op meer dan vier implantaten</v>
          </cell>
          <cell r="C157">
            <v>142.4</v>
          </cell>
        </row>
        <row r="158">
          <cell r="A158" t="str">
            <v>J80</v>
          </cell>
          <cell r="B158" t="str">
            <v>Twee implantaten in de onderkaak voor een implantaatgedragen kunstgebit</v>
          </cell>
          <cell r="C158">
            <v>467.62</v>
          </cell>
        </row>
        <row r="159">
          <cell r="A159" t="str">
            <v>J97</v>
          </cell>
          <cell r="B159" t="str">
            <v>Overheadkosten implantaten</v>
          </cell>
          <cell r="C159">
            <v>166.12</v>
          </cell>
        </row>
        <row r="160">
          <cell r="A160" t="str">
            <v>J98</v>
          </cell>
          <cell r="B160" t="str">
            <v>Overheadkosten pre-implantologische chirurgie</v>
          </cell>
          <cell r="C160">
            <v>94.01</v>
          </cell>
        </row>
        <row r="161">
          <cell r="A161" t="str">
            <v>M01</v>
          </cell>
          <cell r="B161" t="str">
            <v>Preventieve voorlichting en/of instructie, per vijf minuten</v>
          </cell>
          <cell r="C161">
            <v>12.06</v>
          </cell>
        </row>
        <row r="162">
          <cell r="A162" t="str">
            <v>M02</v>
          </cell>
          <cell r="B162" t="str">
            <v>Consult voor evaluatie van preventie, per vijf minuten</v>
          </cell>
          <cell r="C162">
            <v>12.06</v>
          </cell>
        </row>
        <row r="163">
          <cell r="A163" t="str">
            <v>M03</v>
          </cell>
          <cell r="B163" t="str">
            <v>Gebitsreiniging, per vijf minuten</v>
          </cell>
          <cell r="C163">
            <v>12.06</v>
          </cell>
        </row>
        <row r="164">
          <cell r="A164" t="str">
            <v>M05</v>
          </cell>
          <cell r="B164" t="str">
            <v>Beslijpen en/of behandelen melkelement</v>
          </cell>
          <cell r="C164">
            <v>24.2</v>
          </cell>
        </row>
        <row r="165">
          <cell r="A165" t="str">
            <v>M10</v>
          </cell>
          <cell r="B165" t="str">
            <v>Fluoridebehandeling, methode I</v>
          </cell>
          <cell r="C165">
            <v>26.89</v>
          </cell>
        </row>
        <row r="166">
          <cell r="A166" t="str">
            <v>M20</v>
          </cell>
          <cell r="B166" t="str">
            <v>Fluoridebehandeling, methode II</v>
          </cell>
          <cell r="C166">
            <v>21.51</v>
          </cell>
        </row>
        <row r="167">
          <cell r="A167" t="str">
            <v>M32</v>
          </cell>
          <cell r="B167" t="str">
            <v>Eenvoudig bacteriologisch onderzoek</v>
          </cell>
          <cell r="C167">
            <v>16.14</v>
          </cell>
        </row>
        <row r="168">
          <cell r="A168" t="str">
            <v>M61</v>
          </cell>
          <cell r="B168" t="str">
            <v>Mondbeschermer</v>
          </cell>
          <cell r="C168">
            <v>24.2</v>
          </cell>
        </row>
        <row r="169">
          <cell r="A169" t="str">
            <v>P01</v>
          </cell>
          <cell r="B169" t="str">
            <v>Opvullen volledig kunstgebit, indirect zonder randopbouw, per kaak</v>
          </cell>
          <cell r="C169">
            <v>37.65</v>
          </cell>
        </row>
        <row r="170">
          <cell r="A170" t="str">
            <v>P02</v>
          </cell>
          <cell r="B170" t="str">
            <v>Opvullen volledig kunstgebit, indirect met randopbouw, per kaak</v>
          </cell>
          <cell r="C170">
            <v>80.680000000000007</v>
          </cell>
        </row>
        <row r="171">
          <cell r="A171" t="str">
            <v>P03</v>
          </cell>
          <cell r="B171" t="str">
            <v>Opvullen volledig kunstgebit, direct zonder randopbouw, per kaak</v>
          </cell>
          <cell r="C171">
            <v>53.79</v>
          </cell>
        </row>
        <row r="172">
          <cell r="A172" t="str">
            <v>P04</v>
          </cell>
          <cell r="B172" t="str">
            <v>Opvullen volledig kunstgebit, direct met randopbouw, per kaak</v>
          </cell>
          <cell r="C172">
            <v>80.680000000000007</v>
          </cell>
        </row>
        <row r="173">
          <cell r="A173" t="str">
            <v>P06</v>
          </cell>
          <cell r="B173" t="str">
            <v>Tissue conditioning volledig kunstgebit, per kaak</v>
          </cell>
          <cell r="C173">
            <v>37.65</v>
          </cell>
        </row>
        <row r="174">
          <cell r="A174" t="str">
            <v>P07</v>
          </cell>
          <cell r="B174" t="str">
            <v>Reparatie volledig kunstgebit, zonder afdruk, per kaak</v>
          </cell>
          <cell r="C174">
            <v>16.14</v>
          </cell>
        </row>
        <row r="175">
          <cell r="A175" t="str">
            <v>P08</v>
          </cell>
          <cell r="B175" t="str">
            <v>Reparatie volledig kunstgebit, met afdruk, per kaak</v>
          </cell>
          <cell r="C175">
            <v>43.03</v>
          </cell>
        </row>
        <row r="176">
          <cell r="A176" t="str">
            <v>P10</v>
          </cell>
          <cell r="B176" t="str">
            <v>Gedeeltelijk kunstgebit van kunsthars, 1-4 elementen</v>
          </cell>
          <cell r="C176">
            <v>80.680000000000007</v>
          </cell>
        </row>
        <row r="177">
          <cell r="A177" t="str">
            <v>P14</v>
          </cell>
          <cell r="B177" t="str">
            <v>Individuele afdruk met randopbouw</v>
          </cell>
          <cell r="C177">
            <v>59.16</v>
          </cell>
        </row>
        <row r="178">
          <cell r="A178" t="str">
            <v>P15</v>
          </cell>
          <cell r="B178" t="str">
            <v>Gedeeltelijk kunstgebit van kunsthars, 5-13 elementen</v>
          </cell>
          <cell r="C178">
            <v>161.36000000000001</v>
          </cell>
        </row>
        <row r="179">
          <cell r="A179" t="str">
            <v>P16</v>
          </cell>
          <cell r="B179" t="str">
            <v>Toeslag voor individuele afdruk met randopbouw bij gedeeltelijk kunstgebit van kunsthars</v>
          </cell>
          <cell r="C179">
            <v>59.16</v>
          </cell>
        </row>
        <row r="180">
          <cell r="A180" t="str">
            <v>P17</v>
          </cell>
          <cell r="B180" t="str">
            <v>Toeslag voor beetregistratie met specifieke apparatuur</v>
          </cell>
          <cell r="C180">
            <v>53.79</v>
          </cell>
        </row>
        <row r="181">
          <cell r="A181" t="str">
            <v>P18</v>
          </cell>
          <cell r="B181" t="str">
            <v>Toeslag voor gegoten anker bij gedeeltelijk kunstgebit van kunsthars</v>
          </cell>
          <cell r="C181">
            <v>16.14</v>
          </cell>
        </row>
        <row r="182">
          <cell r="A182" t="str">
            <v>P21</v>
          </cell>
          <cell r="B182" t="str">
            <v>Volledig kunstgebit bovenkaak</v>
          </cell>
          <cell r="C182">
            <v>161.36000000000001</v>
          </cell>
        </row>
        <row r="183">
          <cell r="A183" t="str">
            <v>P25</v>
          </cell>
          <cell r="B183" t="str">
            <v>Volledig kunstgebit onderkaak</v>
          </cell>
          <cell r="C183">
            <v>215.14</v>
          </cell>
        </row>
        <row r="184">
          <cell r="A184" t="str">
            <v>P27</v>
          </cell>
          <cell r="B184" t="str">
            <v>Reoccluderen</v>
          </cell>
          <cell r="C184">
            <v>53.79</v>
          </cell>
        </row>
        <row r="185">
          <cell r="A185" t="str">
            <v>P28</v>
          </cell>
          <cell r="B185" t="str">
            <v>Naregistratie en remounten</v>
          </cell>
          <cell r="C185">
            <v>53.79</v>
          </cell>
        </row>
        <row r="186">
          <cell r="A186" t="str">
            <v>P29</v>
          </cell>
          <cell r="B186" t="str">
            <v>Toeslag te berekenen voor elk element bij een overkappingskunstgebit</v>
          </cell>
          <cell r="C186">
            <v>43.03</v>
          </cell>
        </row>
        <row r="187">
          <cell r="A187" t="str">
            <v>P30</v>
          </cell>
          <cell r="B187" t="str">
            <v>Volledig kunstgebit boven- en onderkaak</v>
          </cell>
          <cell r="C187">
            <v>349.61</v>
          </cell>
        </row>
        <row r="188">
          <cell r="A188" t="str">
            <v>P31</v>
          </cell>
          <cell r="B188" t="str">
            <v>Wortelkap met stift</v>
          </cell>
          <cell r="C188">
            <v>134.46</v>
          </cell>
        </row>
        <row r="189">
          <cell r="A189" t="str">
            <v>P32</v>
          </cell>
          <cell r="B189" t="str">
            <v>Toeslag voor maken precisiekoppeling per koppeling c.q. staafhuls</v>
          </cell>
          <cell r="C189">
            <v>80.680000000000007</v>
          </cell>
        </row>
        <row r="190">
          <cell r="A190" t="str">
            <v>P33</v>
          </cell>
          <cell r="B190" t="str">
            <v>Toeslag voor aanbrengen telescoopkroon met precisiekoppeling</v>
          </cell>
          <cell r="C190">
            <v>53.79</v>
          </cell>
        </row>
        <row r="191">
          <cell r="A191" t="str">
            <v>P34</v>
          </cell>
          <cell r="B191" t="str">
            <v>Frame kunstgebit, 1-4 elementen</v>
          </cell>
          <cell r="C191">
            <v>220.52</v>
          </cell>
        </row>
        <row r="192">
          <cell r="A192" t="str">
            <v>P35</v>
          </cell>
          <cell r="B192" t="str">
            <v>Frame kunstgebit, 5-13 elementen</v>
          </cell>
          <cell r="C192">
            <v>301.2</v>
          </cell>
        </row>
        <row r="193">
          <cell r="A193" t="str">
            <v>P36</v>
          </cell>
          <cell r="B193" t="str">
            <v>Individuele afdruk zonder randopbouw</v>
          </cell>
          <cell r="C193">
            <v>26.89</v>
          </cell>
        </row>
        <row r="194">
          <cell r="A194" t="str">
            <v>P37</v>
          </cell>
          <cell r="B194" t="str">
            <v>Frontopstelling in aparte zitting</v>
          </cell>
          <cell r="C194">
            <v>32.270000000000003</v>
          </cell>
        </row>
        <row r="195">
          <cell r="A195" t="str">
            <v>P38</v>
          </cell>
          <cell r="B195" t="str">
            <v>Toeslag voor bepaling verticale beethoogte met behulp van specifieke apparatuur</v>
          </cell>
          <cell r="C195">
            <v>59.16</v>
          </cell>
        </row>
        <row r="196">
          <cell r="A196" t="str">
            <v>P39</v>
          </cell>
          <cell r="B196" t="str">
            <v>Toeslag voor bepaling neutrale zone</v>
          </cell>
          <cell r="C196">
            <v>80.680000000000007</v>
          </cell>
        </row>
        <row r="197">
          <cell r="A197" t="str">
            <v>P40</v>
          </cell>
          <cell r="B197" t="str">
            <v>Toeslag immediaat kunstgebit, kunstgebittarief verhoogd met per immediaat te vervangen element</v>
          </cell>
          <cell r="C197">
            <v>13.45</v>
          </cell>
        </row>
        <row r="198">
          <cell r="A198" t="str">
            <v>P41</v>
          </cell>
          <cell r="B198" t="str">
            <v>Toeslag voor relinen van alginaatafdruk</v>
          </cell>
          <cell r="C198">
            <v>26.89</v>
          </cell>
        </row>
        <row r="199">
          <cell r="A199" t="str">
            <v>P42</v>
          </cell>
          <cell r="B199" t="str">
            <v>Toeslag voor specifieke A-zone-bepaling</v>
          </cell>
          <cell r="C199">
            <v>26.89</v>
          </cell>
        </row>
        <row r="200">
          <cell r="A200" t="str">
            <v>P43</v>
          </cell>
          <cell r="B200" t="str">
            <v>Toeslag voor extra beetbepaling met waswallen</v>
          </cell>
          <cell r="C200">
            <v>32.270000000000003</v>
          </cell>
        </row>
        <row r="201">
          <cell r="A201" t="str">
            <v>P45</v>
          </cell>
          <cell r="B201" t="str">
            <v>Noodkunstgebit</v>
          </cell>
          <cell r="C201">
            <v>107.57</v>
          </cell>
        </row>
        <row r="202">
          <cell r="A202" t="str">
            <v>P51</v>
          </cell>
          <cell r="B202" t="str">
            <v>Opvullen gedeeltelijk kunstgebit/framekunstgebit, indirect zonder randopbouw, per kaak</v>
          </cell>
          <cell r="C202">
            <v>37.65</v>
          </cell>
        </row>
        <row r="203">
          <cell r="A203" t="str">
            <v>P52</v>
          </cell>
          <cell r="B203" t="str">
            <v>Opvullen gedeeltelijk kunstgebit/framekunstgebit, indirect met randopbouw, per kaak</v>
          </cell>
          <cell r="C203">
            <v>80.680000000000007</v>
          </cell>
        </row>
        <row r="204">
          <cell r="A204" t="str">
            <v>P53</v>
          </cell>
          <cell r="B204" t="str">
            <v>Opvullen gedeeltelijk kunstgebit/framekunstgebit, direct zonder randopbouw, per kaak</v>
          </cell>
          <cell r="C204">
            <v>53.79</v>
          </cell>
        </row>
        <row r="205">
          <cell r="A205" t="str">
            <v>P54</v>
          </cell>
          <cell r="B205" t="str">
            <v>Opvullen gedeeltelijk kunstgebit/framekunstgebit, direct met randopbouw, per kaak</v>
          </cell>
          <cell r="C205">
            <v>80.680000000000007</v>
          </cell>
        </row>
        <row r="206">
          <cell r="A206" t="str">
            <v>P56</v>
          </cell>
          <cell r="B206" t="str">
            <v>Tissue conditioning gedeeltelijk kunstgebit of framekunstgebit, per kaak</v>
          </cell>
          <cell r="C206">
            <v>37.65</v>
          </cell>
        </row>
        <row r="207">
          <cell r="A207" t="str">
            <v>P57</v>
          </cell>
          <cell r="B207" t="str">
            <v>Reparatie gedeeltelijk kunstgebit/framekunstgebit, zonder afdruk, per kaak</v>
          </cell>
          <cell r="C207">
            <v>16.14</v>
          </cell>
        </row>
        <row r="208">
          <cell r="A208" t="str">
            <v>P58</v>
          </cell>
          <cell r="B208" t="str">
            <v>Reparatie gedeeltelijk kunstgebit/framekunstgebit, met afdruk, per kaak</v>
          </cell>
          <cell r="C208">
            <v>43.03</v>
          </cell>
        </row>
        <row r="209">
          <cell r="A209" t="str">
            <v>P60</v>
          </cell>
          <cell r="B209" t="str">
            <v>Uitgebreid onderzoek naar functioneren van het bestaande kunstgebit</v>
          </cell>
          <cell r="C209">
            <v>32.270000000000003</v>
          </cell>
        </row>
        <row r="210">
          <cell r="A210" t="str">
            <v>P65</v>
          </cell>
          <cell r="B210" t="str">
            <v>Planmatig inslijpen van het bestaande kunstgebit</v>
          </cell>
          <cell r="C210">
            <v>26.89</v>
          </cell>
        </row>
        <row r="211">
          <cell r="A211" t="str">
            <v>P70</v>
          </cell>
          <cell r="B211" t="str">
            <v>Opvullen overkappingskunstgebit op natuurlijke pijlers zonder staafdemontage, per kaak</v>
          </cell>
          <cell r="C211">
            <v>150.6</v>
          </cell>
        </row>
        <row r="212">
          <cell r="A212" t="str">
            <v>P78</v>
          </cell>
          <cell r="B212" t="str">
            <v>Uitbreiding gedeeltelijk kunstgebit met element(en) tot volledig kunstgebit inclusief afdruk, per kaak</v>
          </cell>
          <cell r="C212">
            <v>43.03</v>
          </cell>
        </row>
        <row r="213">
          <cell r="A213" t="str">
            <v>P79</v>
          </cell>
          <cell r="B213" t="str">
            <v>Uitbreiding gedeeltelijk kunstgebit met element of anker inclusief afdruk, per kaak</v>
          </cell>
          <cell r="C213">
            <v>43.03</v>
          </cell>
        </row>
        <row r="214">
          <cell r="A214" t="str">
            <v>R08</v>
          </cell>
          <cell r="B214" t="str">
            <v>Eenvlaks composiet inlay</v>
          </cell>
          <cell r="C214">
            <v>64.540000000000006</v>
          </cell>
        </row>
        <row r="215">
          <cell r="A215" t="str">
            <v>R09</v>
          </cell>
          <cell r="B215" t="str">
            <v>Tweevlaks composiet inlay</v>
          </cell>
          <cell r="C215">
            <v>123.71</v>
          </cell>
        </row>
        <row r="216">
          <cell r="A216" t="str">
            <v>R10</v>
          </cell>
          <cell r="B216" t="str">
            <v>Drievlaks composiet inlay</v>
          </cell>
          <cell r="C216">
            <v>161.36000000000001</v>
          </cell>
        </row>
        <row r="217">
          <cell r="A217" t="str">
            <v>R11</v>
          </cell>
          <cell r="B217" t="str">
            <v>Eenvlaksinlay</v>
          </cell>
          <cell r="C217">
            <v>96.81</v>
          </cell>
        </row>
        <row r="218">
          <cell r="A218" t="str">
            <v>R12</v>
          </cell>
          <cell r="B218" t="str">
            <v>Tweevlaksinlay</v>
          </cell>
          <cell r="C218">
            <v>150.6</v>
          </cell>
        </row>
        <row r="219">
          <cell r="A219" t="str">
            <v>R13</v>
          </cell>
          <cell r="B219" t="str">
            <v>Drievlaksinlay</v>
          </cell>
          <cell r="C219">
            <v>215.14</v>
          </cell>
        </row>
        <row r="220">
          <cell r="A220" t="str">
            <v>R14</v>
          </cell>
          <cell r="B220" t="str">
            <v>Toeslag voor extra retentie bij het plaatsen van indirecte restauraties</v>
          </cell>
          <cell r="C220">
            <v>26.89</v>
          </cell>
        </row>
        <row r="221">
          <cell r="A221" t="str">
            <v>R24</v>
          </cell>
          <cell r="B221" t="str">
            <v>Kroon</v>
          </cell>
          <cell r="C221">
            <v>236.66</v>
          </cell>
        </row>
        <row r="222">
          <cell r="A222" t="str">
            <v>R28</v>
          </cell>
          <cell r="B222" t="str">
            <v>Endokroon, indirect vervaardigd</v>
          </cell>
          <cell r="C222">
            <v>64.540000000000006</v>
          </cell>
        </row>
        <row r="223">
          <cell r="A223" t="str">
            <v>R29</v>
          </cell>
          <cell r="B223" t="str">
            <v>Roestvrijstalen kroon, kunstharsvoorziening</v>
          </cell>
          <cell r="C223">
            <v>53.79</v>
          </cell>
        </row>
        <row r="224">
          <cell r="A224" t="str">
            <v>R31</v>
          </cell>
          <cell r="B224" t="str">
            <v>Opbouw plastisch materiaal</v>
          </cell>
          <cell r="C224">
            <v>53.79</v>
          </cell>
        </row>
        <row r="225">
          <cell r="A225" t="str">
            <v>R32</v>
          </cell>
          <cell r="B225" t="str">
            <v>Gegoten opbouw, indirecte methode</v>
          </cell>
          <cell r="C225">
            <v>53.79</v>
          </cell>
        </row>
        <row r="226">
          <cell r="A226" t="str">
            <v>R33</v>
          </cell>
          <cell r="B226" t="str">
            <v>Gegoten opbouw, directe methode</v>
          </cell>
          <cell r="C226">
            <v>107.57</v>
          </cell>
        </row>
        <row r="227">
          <cell r="A227" t="str">
            <v>R40</v>
          </cell>
          <cell r="B227" t="str">
            <v>Eerste brugtussendeel</v>
          </cell>
          <cell r="C227">
            <v>161.36000000000001</v>
          </cell>
        </row>
        <row r="228">
          <cell r="A228" t="str">
            <v>R45</v>
          </cell>
          <cell r="B228" t="str">
            <v>Tweede en volgende brugdeel in hetzelfde tussendeel</v>
          </cell>
          <cell r="C228">
            <v>80.680000000000007</v>
          </cell>
        </row>
        <row r="229">
          <cell r="A229" t="str">
            <v>R46</v>
          </cell>
          <cell r="B229" t="str">
            <v>Brugverankering, per anker</v>
          </cell>
          <cell r="C229">
            <v>53.79</v>
          </cell>
        </row>
        <row r="230">
          <cell r="A230" t="str">
            <v>R49</v>
          </cell>
          <cell r="B230" t="str">
            <v>Toeslag voor brug op vijf- of meer pijlerelementen</v>
          </cell>
          <cell r="C230">
            <v>134.46</v>
          </cell>
        </row>
        <row r="231">
          <cell r="A231" t="str">
            <v>R50</v>
          </cell>
          <cell r="B231" t="str">
            <v>Metalen fixatiekap met afdruk</v>
          </cell>
          <cell r="C231">
            <v>26.89</v>
          </cell>
        </row>
        <row r="232">
          <cell r="A232" t="str">
            <v>R55</v>
          </cell>
          <cell r="B232" t="str">
            <v>Gipsslot met extra afdruk</v>
          </cell>
          <cell r="C232">
            <v>26.89</v>
          </cell>
        </row>
        <row r="233">
          <cell r="A233" t="str">
            <v>R60</v>
          </cell>
          <cell r="B233" t="str">
            <v>Plakbrug zonder preparatie</v>
          </cell>
          <cell r="C233">
            <v>107.57</v>
          </cell>
        </row>
        <row r="234">
          <cell r="A234" t="str">
            <v>R61</v>
          </cell>
          <cell r="B234" t="str">
            <v>Plakbrug met preparatie</v>
          </cell>
          <cell r="C234">
            <v>161.36000000000001</v>
          </cell>
        </row>
        <row r="235">
          <cell r="A235" t="str">
            <v>R65</v>
          </cell>
          <cell r="B235" t="str">
            <v>Toeslag voor elk volgende brugdeel in hetzelfde tussendeel</v>
          </cell>
          <cell r="C235">
            <v>37.65</v>
          </cell>
        </row>
        <row r="236">
          <cell r="A236" t="str">
            <v>R66</v>
          </cell>
          <cell r="B236" t="str">
            <v>Toeslag voor elke volgende bevestiging boven het aantal van twee</v>
          </cell>
          <cell r="C236">
            <v>21.51</v>
          </cell>
        </row>
        <row r="237">
          <cell r="A237" t="str">
            <v>R70</v>
          </cell>
          <cell r="B237" t="str">
            <v>Toeslag voor kroon onder bestaand frame-anker</v>
          </cell>
          <cell r="C237">
            <v>59.16</v>
          </cell>
        </row>
        <row r="238">
          <cell r="A238" t="str">
            <v>R71</v>
          </cell>
          <cell r="B238" t="str">
            <v>Vernieuwen porseleinen schildje, reparatie metalen/porseleinen kroon in de mond</v>
          </cell>
          <cell r="C238">
            <v>59.16</v>
          </cell>
        </row>
        <row r="239">
          <cell r="A239" t="str">
            <v>R72</v>
          </cell>
          <cell r="B239" t="str">
            <v>Vernieuwen schildje van plastisch materiaal</v>
          </cell>
          <cell r="C239">
            <v>32.270000000000003</v>
          </cell>
        </row>
        <row r="240">
          <cell r="A240" t="str">
            <v>R73</v>
          </cell>
          <cell r="B240" t="str">
            <v>Aanbrengen extra retentie c.q. pinnen in schildje</v>
          </cell>
          <cell r="C240">
            <v>21.51</v>
          </cell>
        </row>
        <row r="241">
          <cell r="A241" t="str">
            <v>R74</v>
          </cell>
          <cell r="B241" t="str">
            <v>Opnieuw vastzetten niet plastische restauraties</v>
          </cell>
          <cell r="C241">
            <v>21.51</v>
          </cell>
        </row>
        <row r="242">
          <cell r="A242" t="str">
            <v>R75</v>
          </cell>
          <cell r="B242" t="str">
            <v>Opnieuw vastzetten plakbrug</v>
          </cell>
          <cell r="C242">
            <v>53.79</v>
          </cell>
        </row>
        <row r="243">
          <cell r="A243" t="str">
            <v>R76</v>
          </cell>
          <cell r="B243" t="str">
            <v>Toeslag voor gegoten opbouw onder bestaande kroon</v>
          </cell>
          <cell r="C243">
            <v>26.89</v>
          </cell>
        </row>
        <row r="244">
          <cell r="A244" t="str">
            <v>R77</v>
          </cell>
          <cell r="B244" t="str">
            <v>Moeizaam verwijderen van oud kroon- en brugwerk per (pijler)element</v>
          </cell>
          <cell r="C244">
            <v>26.89</v>
          </cell>
        </row>
        <row r="245">
          <cell r="A245" t="str">
            <v>R78</v>
          </cell>
          <cell r="B245" t="str">
            <v>Schildje van keramiek of kunststof, zonder preparatie</v>
          </cell>
          <cell r="C245">
            <v>64.540000000000006</v>
          </cell>
        </row>
        <row r="246">
          <cell r="A246" t="str">
            <v>R79</v>
          </cell>
          <cell r="B246" t="str">
            <v>Schildje van keramiek of kunststof, met preparatie</v>
          </cell>
          <cell r="C246">
            <v>107.57</v>
          </cell>
        </row>
        <row r="247">
          <cell r="A247" t="str">
            <v>R80</v>
          </cell>
          <cell r="B247" t="str">
            <v>Temporaire, eerste voorziening</v>
          </cell>
          <cell r="C247">
            <v>26.89</v>
          </cell>
        </row>
        <row r="248">
          <cell r="A248" t="str">
            <v>R85</v>
          </cell>
          <cell r="B248" t="str">
            <v>Temporaire, volgende voorziening</v>
          </cell>
          <cell r="C248">
            <v>10.76</v>
          </cell>
        </row>
        <row r="249">
          <cell r="A249" t="str">
            <v>R90</v>
          </cell>
          <cell r="B249" t="str">
            <v>Gedeeltelijk voltooid werk</v>
          </cell>
          <cell r="C249" t="str">
            <v>Naar gelang het stadium waarin de tandheelkundige werkzaamheden verkeren.</v>
          </cell>
        </row>
        <row r="250">
          <cell r="A250" t="str">
            <v>T11</v>
          </cell>
          <cell r="B250" t="str">
            <v>Onderzoek van het tandvlees met pocketstatus</v>
          </cell>
          <cell r="C250">
            <v>142.53</v>
          </cell>
        </row>
        <row r="251">
          <cell r="A251" t="str">
            <v>T12</v>
          </cell>
          <cell r="B251" t="str">
            <v>Onderzoek van het tandvlees met parodontiumstatus</v>
          </cell>
          <cell r="C251">
            <v>155.97999999999999</v>
          </cell>
        </row>
        <row r="252">
          <cell r="A252" t="str">
            <v>T21</v>
          </cell>
          <cell r="B252" t="str">
            <v>Grondig reinigen wortel door een tandarts, per element</v>
          </cell>
          <cell r="C252">
            <v>29.04</v>
          </cell>
        </row>
        <row r="253">
          <cell r="A253" t="str">
            <v>T22</v>
          </cell>
          <cell r="B253" t="str">
            <v>Grondig reinigen wortel door een mondhygiënist, per element</v>
          </cell>
          <cell r="C253">
            <v>21.51</v>
          </cell>
        </row>
        <row r="254">
          <cell r="A254" t="str">
            <v>T31</v>
          </cell>
          <cell r="B254" t="str">
            <v>Herbeoordeling met pocketstatus, na initiële tandvleesbehandeling</v>
          </cell>
          <cell r="C254">
            <v>83.37</v>
          </cell>
        </row>
        <row r="255">
          <cell r="A255" t="str">
            <v>T32</v>
          </cell>
          <cell r="B255" t="str">
            <v>Herbeoordeling met parodontiumstatus, na initiële tandvleesbehandeling</v>
          </cell>
          <cell r="C255">
            <v>96.81</v>
          </cell>
        </row>
        <row r="256">
          <cell r="A256" t="str">
            <v>T33</v>
          </cell>
          <cell r="B256" t="str">
            <v>Uitgebreid bespreken vervolgtraject na herbeoordeling</v>
          </cell>
          <cell r="C256">
            <v>43.03</v>
          </cell>
        </row>
        <row r="257">
          <cell r="A257" t="str">
            <v>T51</v>
          </cell>
          <cell r="B257" t="str">
            <v>Kort consult nazorg tandvleesbehandeling door een tandarts</v>
          </cell>
          <cell r="C257">
            <v>75.3</v>
          </cell>
        </row>
        <row r="258">
          <cell r="A258" t="str">
            <v>T52</v>
          </cell>
          <cell r="B258" t="str">
            <v>Kort consult nazorg tandvleesbehandeling door een mondhygiënist</v>
          </cell>
          <cell r="C258">
            <v>56.48</v>
          </cell>
        </row>
        <row r="259">
          <cell r="A259" t="str">
            <v>T53</v>
          </cell>
          <cell r="B259" t="str">
            <v>Standaard consult nazorg tandvleesbehandeling door een tandarts</v>
          </cell>
          <cell r="C259">
            <v>108.65</v>
          </cell>
        </row>
        <row r="260">
          <cell r="A260" t="str">
            <v>T54</v>
          </cell>
          <cell r="B260" t="str">
            <v>Standaard consult nazorg tandvleesbehandeling door een mondhygiënist</v>
          </cell>
          <cell r="C260">
            <v>81.75</v>
          </cell>
        </row>
        <row r="261">
          <cell r="A261" t="str">
            <v>T55</v>
          </cell>
          <cell r="B261" t="str">
            <v>Uitgebreid consult nazorg tandvleesbehandeling door een tandarts</v>
          </cell>
          <cell r="C261">
            <v>144.68</v>
          </cell>
        </row>
        <row r="262">
          <cell r="A262" t="str">
            <v>T56</v>
          </cell>
          <cell r="B262" t="str">
            <v>Uitgebreid consult nazorg tandvleesbehandeling door een mondhygiënist</v>
          </cell>
          <cell r="C262">
            <v>108.65</v>
          </cell>
        </row>
        <row r="263">
          <cell r="A263" t="str">
            <v>T57</v>
          </cell>
          <cell r="B263" t="str">
            <v>Toepassing lokaal medicament</v>
          </cell>
          <cell r="C263">
            <v>58.09</v>
          </cell>
        </row>
        <row r="264">
          <cell r="A264" t="str">
            <v>T60</v>
          </cell>
          <cell r="B264" t="str">
            <v>Evaluatieonderzoek met pocketstatus</v>
          </cell>
          <cell r="C264">
            <v>142.53</v>
          </cell>
        </row>
        <row r="265">
          <cell r="A265" t="str">
            <v>T61</v>
          </cell>
          <cell r="B265" t="str">
            <v>Evaluatieonderzoek met parodontiumstatus</v>
          </cell>
          <cell r="C265">
            <v>155.97999999999999</v>
          </cell>
        </row>
        <row r="266">
          <cell r="A266" t="str">
            <v>T70</v>
          </cell>
          <cell r="B266" t="str">
            <v>Flapoperatie tussen 2 elementen</v>
          </cell>
          <cell r="C266">
            <v>174.8</v>
          </cell>
        </row>
        <row r="267">
          <cell r="A267" t="str">
            <v>T71</v>
          </cell>
          <cell r="B267" t="str">
            <v>Flapoperatie, per sextant (één zesde deel)</v>
          </cell>
          <cell r="C267">
            <v>268.93</v>
          </cell>
        </row>
        <row r="268">
          <cell r="A268" t="str">
            <v>T72</v>
          </cell>
          <cell r="B268" t="str">
            <v>Flapoperatie uitgebreid, per sextant ( één zesde deel)</v>
          </cell>
          <cell r="C268">
            <v>322.70999999999998</v>
          </cell>
        </row>
        <row r="269">
          <cell r="A269" t="str">
            <v>T73</v>
          </cell>
          <cell r="B269" t="str">
            <v>Directe postoperatieve zorg, kort</v>
          </cell>
          <cell r="C269">
            <v>53.79</v>
          </cell>
        </row>
        <row r="270">
          <cell r="A270" t="str">
            <v>T74</v>
          </cell>
          <cell r="B270" t="str">
            <v>Directe postoperatieve zorg, uitgebreid</v>
          </cell>
          <cell r="C270">
            <v>144.68</v>
          </cell>
        </row>
        <row r="271">
          <cell r="A271" t="str">
            <v>T75</v>
          </cell>
          <cell r="B271" t="str">
            <v>Postoperatief evaluatieonderzoek met parodontiumstatus</v>
          </cell>
          <cell r="C271">
            <v>139.84</v>
          </cell>
        </row>
        <row r="272">
          <cell r="A272" t="str">
            <v>T76</v>
          </cell>
          <cell r="B272" t="str">
            <v>Tuber- of retromolaarplastiek</v>
          </cell>
          <cell r="C272">
            <v>67.23</v>
          </cell>
        </row>
        <row r="273">
          <cell r="A273" t="str">
            <v>T80</v>
          </cell>
          <cell r="B273" t="str">
            <v>Tandvleestransplantaat</v>
          </cell>
          <cell r="C273">
            <v>115.64</v>
          </cell>
        </row>
        <row r="274">
          <cell r="A274" t="str">
            <v>T81</v>
          </cell>
          <cell r="B274" t="str">
            <v>Tuber- of retromolaarplastiek</v>
          </cell>
          <cell r="C274">
            <v>94.13</v>
          </cell>
        </row>
        <row r="275">
          <cell r="A275" t="str">
            <v>T82</v>
          </cell>
          <cell r="B275" t="str">
            <v>Tandvleescorrectie, per element</v>
          </cell>
          <cell r="C275">
            <v>51.1</v>
          </cell>
        </row>
        <row r="276">
          <cell r="A276" t="str">
            <v>T83</v>
          </cell>
          <cell r="B276" t="str">
            <v>Tandvleescorrectie, per sextant (één zesde deel)</v>
          </cell>
          <cell r="C276">
            <v>134.46</v>
          </cell>
        </row>
        <row r="277">
          <cell r="A277" t="str">
            <v>T84</v>
          </cell>
          <cell r="B277" t="str">
            <v>Aanbrengen regeneratiemateriaal als zelfstandige verrichting, per sextant (één zesde deel)</v>
          </cell>
          <cell r="C277">
            <v>322.70999999999998</v>
          </cell>
        </row>
        <row r="278">
          <cell r="A278" t="str">
            <v>T85</v>
          </cell>
          <cell r="B278" t="str">
            <v>Aanbrengen regeneratiemateriaal als niet-zelfstandige verrichting, gelijktijdig met flapoperatie in hetzelfde sextant (één zesde deel), per element</v>
          </cell>
          <cell r="C278">
            <v>107.57</v>
          </cell>
        </row>
        <row r="279">
          <cell r="A279" t="str">
            <v>T86</v>
          </cell>
          <cell r="B279" t="str">
            <v>Operatieve verwijdering van regeneratiemateriaal</v>
          </cell>
          <cell r="C279">
            <v>174.8</v>
          </cell>
        </row>
        <row r="280">
          <cell r="A280" t="str">
            <v>T87</v>
          </cell>
          <cell r="B280" t="str">
            <v>Kroonverlenging per element</v>
          </cell>
          <cell r="C280">
            <v>174.8</v>
          </cell>
        </row>
        <row r="281">
          <cell r="A281" t="str">
            <v>T88</v>
          </cell>
          <cell r="B281" t="str">
            <v>Kroonverlenging per sextant</v>
          </cell>
          <cell r="C281">
            <v>322.70999999999998</v>
          </cell>
        </row>
        <row r="282">
          <cell r="A282" t="str">
            <v>T89</v>
          </cell>
          <cell r="B282" t="str">
            <v>Directe postoperatieve zorg, kort</v>
          </cell>
          <cell r="C282">
            <v>53.79</v>
          </cell>
        </row>
        <row r="283">
          <cell r="A283" t="str">
            <v>T90</v>
          </cell>
          <cell r="B283" t="str">
            <v>Directe postoperatieve zorg, uitgebreid</v>
          </cell>
          <cell r="C283">
            <v>144.68</v>
          </cell>
        </row>
        <row r="284">
          <cell r="A284" t="str">
            <v>T91</v>
          </cell>
          <cell r="B284" t="str">
            <v>Pocketregistratie</v>
          </cell>
          <cell r="C284">
            <v>32.270000000000003</v>
          </cell>
        </row>
        <row r="285">
          <cell r="A285" t="str">
            <v>T92</v>
          </cell>
          <cell r="B285" t="str">
            <v>Parodontiumregistratie</v>
          </cell>
          <cell r="C285">
            <v>64.540000000000006</v>
          </cell>
        </row>
        <row r="286">
          <cell r="A286" t="str">
            <v>T93</v>
          </cell>
          <cell r="B286" t="str">
            <v>Bacteriologisch onderzoek ten behoeve van tandvleesbehandeling</v>
          </cell>
          <cell r="C286">
            <v>37.65</v>
          </cell>
        </row>
        <row r="287">
          <cell r="A287" t="str">
            <v>T94</v>
          </cell>
          <cell r="B287" t="str">
            <v>Behandeling tandvleesabces</v>
          </cell>
          <cell r="C287">
            <v>72.61</v>
          </cell>
        </row>
        <row r="288">
          <cell r="A288" t="str">
            <v>T95</v>
          </cell>
          <cell r="B288" t="str">
            <v>(Draad)Spalk</v>
          </cell>
          <cell r="C288">
            <v>21.51</v>
          </cell>
        </row>
        <row r="289">
          <cell r="A289" t="str">
            <v>T96</v>
          </cell>
          <cell r="B289" t="str">
            <v>Uitgebreide Voedingsanalyse</v>
          </cell>
          <cell r="C289">
            <v>53.79</v>
          </cell>
        </row>
        <row r="290">
          <cell r="A290" t="str">
            <v>U05</v>
          </cell>
          <cell r="B290" t="str">
            <v>Tijdtarief begeleiding moeilijk behandelbare patiënten in eenheden van vijf minuten</v>
          </cell>
          <cell r="C290">
            <v>13.84</v>
          </cell>
        </row>
        <row r="291">
          <cell r="A291" t="str">
            <v>U20</v>
          </cell>
          <cell r="B291" t="str">
            <v>Second opinion verricht door de Stichting TIP</v>
          </cell>
          <cell r="C291">
            <v>176.4</v>
          </cell>
        </row>
        <row r="292">
          <cell r="A292" t="str">
            <v>U25</v>
          </cell>
          <cell r="B292" t="str">
            <v>Tijdtarief tandheelkundige hulp aan patiënten die behandeld worden in de Wlz-instelling in eenheden van vijf minuten</v>
          </cell>
          <cell r="C292">
            <v>12.25</v>
          </cell>
        </row>
        <row r="293">
          <cell r="A293" t="str">
            <v>U35</v>
          </cell>
          <cell r="B293" t="str">
            <v>Tijdtarief tandheelkundige hulp aan patiënten die verblijven in de Wlz-instelling en behandeld worden in de eigen praktijk van de zorgaanbieder in eenheden van vijf minuten</v>
          </cell>
          <cell r="C293">
            <v>13.84</v>
          </cell>
        </row>
        <row r="294">
          <cell r="A294" t="str">
            <v>V15</v>
          </cell>
          <cell r="B294" t="str">
            <v>Aanbrengen schildje van tandkleurig plastisch materiaal</v>
          </cell>
          <cell r="C294">
            <v>64.540000000000006</v>
          </cell>
        </row>
        <row r="295">
          <cell r="A295" t="str">
            <v>V30</v>
          </cell>
          <cell r="B295" t="str">
            <v>Fissuurlak, eerste element</v>
          </cell>
          <cell r="C295">
            <v>24.2</v>
          </cell>
        </row>
        <row r="296">
          <cell r="A296" t="str">
            <v>V35</v>
          </cell>
          <cell r="B296" t="str">
            <v>Fissuurlak, ieder volgend element in dezelfde zitting</v>
          </cell>
          <cell r="C296">
            <v>13.45</v>
          </cell>
        </row>
        <row r="297">
          <cell r="A297" t="str">
            <v>V40</v>
          </cell>
          <cell r="B297" t="str">
            <v>Het polijsten van oude vullingen, het beslijpen van oude vullingen, behandeling van gevoelige tandhalzen en applicatie van medicament</v>
          </cell>
          <cell r="C297">
            <v>5.38</v>
          </cell>
        </row>
        <row r="298">
          <cell r="A298" t="str">
            <v>V50</v>
          </cell>
          <cell r="B298" t="str">
            <v>Droogleggen van elementen door middel van een rubberen lapje</v>
          </cell>
          <cell r="C298">
            <v>10.76</v>
          </cell>
        </row>
        <row r="299">
          <cell r="A299" t="str">
            <v>V70</v>
          </cell>
          <cell r="B299" t="str">
            <v>Parapulpaire stift</v>
          </cell>
          <cell r="C299">
            <v>10.76</v>
          </cell>
        </row>
        <row r="300">
          <cell r="A300" t="str">
            <v>V71</v>
          </cell>
          <cell r="B300" t="str">
            <v>Eénvlaksvulling amalgaam</v>
          </cell>
          <cell r="C300">
            <v>22.59</v>
          </cell>
        </row>
        <row r="301">
          <cell r="A301" t="str">
            <v>V72</v>
          </cell>
          <cell r="B301" t="str">
            <v>Tweevlaksvulling amalgaam</v>
          </cell>
          <cell r="C301">
            <v>36.04</v>
          </cell>
        </row>
        <row r="302">
          <cell r="A302" t="str">
            <v>V73</v>
          </cell>
          <cell r="B302" t="str">
            <v>Drievlaksvulling amalgaam</v>
          </cell>
          <cell r="C302">
            <v>46.79</v>
          </cell>
        </row>
        <row r="303">
          <cell r="A303" t="str">
            <v>V74</v>
          </cell>
          <cell r="B303" t="str">
            <v>Meervlaksvulling amalgaam</v>
          </cell>
          <cell r="C303">
            <v>65.62</v>
          </cell>
        </row>
        <row r="304">
          <cell r="A304" t="str">
            <v>V80</v>
          </cell>
          <cell r="B304" t="str">
            <v>Wortelkanaalstift</v>
          </cell>
          <cell r="C304">
            <v>18.829999999999998</v>
          </cell>
        </row>
        <row r="305">
          <cell r="A305" t="str">
            <v>V81</v>
          </cell>
          <cell r="B305" t="str">
            <v>Eénvlaksvulling glasionomeer/glascarbomeer/compomeer</v>
          </cell>
          <cell r="C305">
            <v>33.35</v>
          </cell>
        </row>
        <row r="306">
          <cell r="A306" t="str">
            <v>V82</v>
          </cell>
          <cell r="B306" t="str">
            <v>Tweevlaksvulling glasionomeer/glascarbomeer/compomeer</v>
          </cell>
          <cell r="C306">
            <v>46.79</v>
          </cell>
        </row>
        <row r="307">
          <cell r="A307" t="str">
            <v>V83</v>
          </cell>
          <cell r="B307" t="str">
            <v>Drievlaksvulling glasionomeer/glascarbomeer/compomeer</v>
          </cell>
          <cell r="C307">
            <v>57.55</v>
          </cell>
        </row>
        <row r="308">
          <cell r="A308" t="str">
            <v>V84</v>
          </cell>
          <cell r="B308" t="str">
            <v>Meervlaksvulling glasionomeer/glascarbomeer/compomeer</v>
          </cell>
          <cell r="C308">
            <v>76.38</v>
          </cell>
        </row>
        <row r="309">
          <cell r="A309" t="str">
            <v>V85</v>
          </cell>
          <cell r="B309" t="str">
            <v>Elke volgende wortelkanaalstift in hetzelfde element</v>
          </cell>
          <cell r="C309">
            <v>8.07</v>
          </cell>
        </row>
        <row r="310">
          <cell r="A310" t="str">
            <v>V91</v>
          </cell>
          <cell r="B310" t="str">
            <v>Eénvlaksvulling composiet</v>
          </cell>
          <cell r="C310">
            <v>43.03</v>
          </cell>
        </row>
        <row r="311">
          <cell r="A311" t="str">
            <v>V92</v>
          </cell>
          <cell r="B311" t="str">
            <v>Tweevlaksvulling composiet</v>
          </cell>
          <cell r="C311">
            <v>56.48</v>
          </cell>
        </row>
        <row r="312">
          <cell r="A312" t="str">
            <v>V93</v>
          </cell>
          <cell r="B312" t="str">
            <v>Drievlaksvulling composiet</v>
          </cell>
          <cell r="C312">
            <v>67.23</v>
          </cell>
        </row>
        <row r="313">
          <cell r="A313" t="str">
            <v>V94</v>
          </cell>
          <cell r="B313" t="str">
            <v>Meervlaksvulling composiet</v>
          </cell>
          <cell r="C313">
            <v>86.06</v>
          </cell>
        </row>
        <row r="314">
          <cell r="A314" t="str">
            <v>X10</v>
          </cell>
          <cell r="B314" t="str">
            <v>Kleine röntgenfoto</v>
          </cell>
          <cell r="C314">
            <v>15.06</v>
          </cell>
        </row>
        <row r="315">
          <cell r="A315" t="str">
            <v>X21</v>
          </cell>
          <cell r="B315" t="str">
            <v>Kaakoverzichtsfoto</v>
          </cell>
          <cell r="C315">
            <v>64.540000000000006</v>
          </cell>
        </row>
        <row r="316">
          <cell r="A316" t="str">
            <v>X22</v>
          </cell>
          <cell r="B316" t="str">
            <v>Kaakoverzichtsfoto t.b.v. implantologie in de tandeloze kaak</v>
          </cell>
          <cell r="C316">
            <v>64.540000000000006</v>
          </cell>
        </row>
        <row r="317">
          <cell r="A317" t="str">
            <v>X24</v>
          </cell>
          <cell r="B317" t="str">
            <v>Schedelfoto</v>
          </cell>
          <cell r="C317">
            <v>29.04</v>
          </cell>
        </row>
        <row r="318">
          <cell r="A318" t="str">
            <v>X25</v>
          </cell>
          <cell r="B318" t="str">
            <v>Maken meerdimensionale kaakfoto</v>
          </cell>
          <cell r="C318">
            <v>129.09</v>
          </cell>
        </row>
        <row r="319">
          <cell r="A319" t="str">
            <v>X26</v>
          </cell>
          <cell r="B319" t="str">
            <v>Beoordelen meerdimensionale kaakfoto</v>
          </cell>
          <cell r="C319">
            <v>53.79</v>
          </cell>
        </row>
        <row r="320">
          <cell r="A320" t="str">
            <v>X611</v>
          </cell>
          <cell r="B320" t="str">
            <v>Tarief intraveneuze sedatie</v>
          </cell>
          <cell r="C320">
            <v>260.37</v>
          </cell>
        </row>
        <row r="321">
          <cell r="A321" t="str">
            <v>X631CV</v>
          </cell>
          <cell r="B321" t="str">
            <v>Tijdtarief voor verdoving dmv algehele narcose (5 min)</v>
          </cell>
          <cell r="C321">
            <v>22.68</v>
          </cell>
        </row>
        <row r="322">
          <cell r="A322" t="str">
            <v>X731CV</v>
          </cell>
          <cell r="B322" t="str">
            <v>Tijdtarief mondzorg bijzondere zorggroepen (5 min)</v>
          </cell>
          <cell r="C322">
            <v>23.9</v>
          </cell>
        </row>
        <row r="323">
          <cell r="A323" t="str">
            <v>Z10</v>
          </cell>
          <cell r="B323" t="str">
            <v>Abonnement categorie A per maand</v>
          </cell>
          <cell r="C323">
            <v>6.99</v>
          </cell>
        </row>
        <row r="324">
          <cell r="A324" t="str">
            <v>Z20</v>
          </cell>
          <cell r="B324" t="str">
            <v>Abonnement categorie B per maand</v>
          </cell>
          <cell r="C324">
            <v>10.76</v>
          </cell>
        </row>
        <row r="325">
          <cell r="A325" t="str">
            <v>Z30</v>
          </cell>
          <cell r="B325" t="str">
            <v>Abonnement categorie C per maand</v>
          </cell>
          <cell r="C325">
            <v>14.52</v>
          </cell>
        </row>
        <row r="326">
          <cell r="A326" t="str">
            <v>Z40</v>
          </cell>
          <cell r="B326" t="str">
            <v>Abonnement categorie D per maand</v>
          </cell>
          <cell r="C326">
            <v>17.75</v>
          </cell>
        </row>
        <row r="327">
          <cell r="A327" t="str">
            <v>Z50</v>
          </cell>
          <cell r="B327" t="str">
            <v>Abonnement categorie E per maand</v>
          </cell>
          <cell r="C327">
            <v>21.51</v>
          </cell>
        </row>
        <row r="328">
          <cell r="A328" t="str">
            <v>Z60</v>
          </cell>
          <cell r="B328" t="str">
            <v>Abonnement categorie F per maand</v>
          </cell>
          <cell r="C328">
            <v>5.92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za.nl/1048076/1048144/TB_REG_17614_01__Tandheelkundige_zorg.pdf" TargetMode="External"/><Relationship Id="rId2" Type="http://schemas.openxmlformats.org/officeDocument/2006/relationships/hyperlink" Target="https://www.cz.nl/~/media/zorgaanbieder/actueel/mondzorg/maximale-materiaal-en-techniekkosten-implantologie-suprastructuur.pdf?revid=e848930e-8a51-44cb-b945-e3672474853c" TargetMode="External"/><Relationship Id="rId1" Type="http://schemas.openxmlformats.org/officeDocument/2006/relationships/hyperlink" Target="https://www.cz.nl/~/media/zorgaanbieder/actueel/mondzorg/maximale%20materiaal%20en%20techniekkosten%20overige%20mondzorg.pdf?revid=0c69f00b-d508-4162-99b6-d3d96162d9e4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abSelected="1" zoomScale="85" zoomScaleNormal="85" zoomScalePageLayoutView="85" workbookViewId="0">
      <pane ySplit="2" topLeftCell="A3" activePane="bottomLeft" state="frozen"/>
      <selection pane="bottomLeft" activeCell="B49" sqref="B49"/>
    </sheetView>
  </sheetViews>
  <sheetFormatPr defaultColWidth="8.85546875" defaultRowHeight="15"/>
  <cols>
    <col min="1" max="1" width="9" style="233" customWidth="1"/>
    <col min="2" max="2" width="84.42578125" style="236" bestFit="1" customWidth="1"/>
    <col min="3" max="3" width="10.7109375" style="250" customWidth="1"/>
    <col min="4" max="4" width="10.140625" style="251" customWidth="1"/>
    <col min="5" max="5" width="12" style="251" customWidth="1"/>
    <col min="6" max="6" width="9.140625" style="236" hidden="1" customWidth="1"/>
    <col min="7" max="7" width="12.7109375" style="252" hidden="1" customWidth="1"/>
    <col min="8" max="8" width="11.28515625" style="251" hidden="1" customWidth="1"/>
    <col min="9" max="9" width="9.140625" style="236" hidden="1" customWidth="1"/>
    <col min="10" max="15" width="9.140625" style="237" hidden="1" customWidth="1"/>
    <col min="16" max="16" width="16.140625" style="237" hidden="1" customWidth="1"/>
    <col min="17" max="17" width="9.140625" style="237" hidden="1" customWidth="1"/>
    <col min="18" max="18" width="38.85546875" style="237" hidden="1" customWidth="1"/>
    <col min="19" max="20" width="9.140625" style="237" hidden="1" customWidth="1"/>
    <col min="21" max="22" width="9.140625" style="236" hidden="1" customWidth="1"/>
    <col min="23" max="23" width="9.42578125" style="236" hidden="1" customWidth="1"/>
    <col min="24" max="24" width="9.140625" style="236" hidden="1" customWidth="1"/>
    <col min="25" max="25" width="0" style="236" hidden="1" customWidth="1"/>
    <col min="26" max="26" width="10.42578125" style="236" bestFit="1" customWidth="1"/>
    <col min="27" max="16384" width="8.85546875" style="236"/>
  </cols>
  <sheetData>
    <row r="1" spans="1:23" ht="18.75">
      <c r="B1" s="234" t="s">
        <v>129</v>
      </c>
      <c r="C1" s="269" t="s">
        <v>67</v>
      </c>
      <c r="D1" s="269"/>
      <c r="E1" s="269"/>
      <c r="F1" s="235"/>
      <c r="G1" s="270" t="s">
        <v>575</v>
      </c>
      <c r="H1" s="270"/>
    </row>
    <row r="2" spans="1:23" ht="30">
      <c r="B2" s="235"/>
      <c r="C2" s="238" t="s">
        <v>569</v>
      </c>
      <c r="D2" s="239" t="s">
        <v>573</v>
      </c>
      <c r="E2" s="239" t="s">
        <v>16</v>
      </c>
      <c r="F2" s="240"/>
      <c r="G2" s="241" t="s">
        <v>674</v>
      </c>
      <c r="H2" s="242" t="s">
        <v>574</v>
      </c>
    </row>
    <row r="3" spans="1:23" ht="18.75">
      <c r="A3" s="243"/>
      <c r="B3" s="244" t="s">
        <v>94</v>
      </c>
      <c r="C3" s="245"/>
      <c r="D3" s="246"/>
      <c r="E3" s="246"/>
      <c r="F3" s="247"/>
      <c r="G3" s="248"/>
      <c r="H3" s="246"/>
    </row>
    <row r="4" spans="1:23">
      <c r="A4" s="243"/>
      <c r="B4" s="249" t="s">
        <v>571</v>
      </c>
      <c r="K4" s="237" t="s">
        <v>615</v>
      </c>
      <c r="O4" s="253"/>
      <c r="Q4" s="237" t="s">
        <v>612</v>
      </c>
      <c r="R4" s="237" t="s">
        <v>680</v>
      </c>
      <c r="S4" s="237" t="s">
        <v>613</v>
      </c>
      <c r="T4" s="253" t="s">
        <v>709</v>
      </c>
      <c r="U4" s="253" t="s">
        <v>710</v>
      </c>
      <c r="V4" s="236">
        <v>0</v>
      </c>
    </row>
    <row r="5" spans="1:23">
      <c r="A5" s="231"/>
      <c r="B5" s="254" t="s">
        <v>658</v>
      </c>
      <c r="C5" s="250">
        <f>Ovk_OK2_staafmetnwe_VPB!F4</f>
        <v>99.265100000000004</v>
      </c>
      <c r="D5" s="251">
        <f>Ovk_OK2_staafmetnwe_VPB!G4</f>
        <v>288.4006</v>
      </c>
      <c r="E5" s="251">
        <f>Ovk_OK2_staafmetnwe_VPB!H4</f>
        <v>387.66570000000002</v>
      </c>
      <c r="G5" s="252">
        <f>Ovk_OK2_staafmetnwe_VPB!J4</f>
        <v>84</v>
      </c>
      <c r="H5" s="251">
        <f>Ovk_OK2_staafmetnwe_VPB!D4</f>
        <v>2118.3599999999997</v>
      </c>
      <c r="K5" s="237" t="s">
        <v>614</v>
      </c>
      <c r="O5" s="233"/>
      <c r="Q5" s="237" t="str">
        <f t="shared" ref="Q5:Q13" si="0">IF(A5&gt;0,ROW(),"")</f>
        <v/>
      </c>
      <c r="R5" s="237" t="str">
        <f>IFERROR(INDEX($B$1:$B$45,SMALL($Q$5:$Q$45,ROW(L1)),1),"")</f>
        <v/>
      </c>
      <c r="S5" s="255" t="str">
        <f>IFERROR(INDEX($E$1:$E$45,SMALL($Q$5:$Q$45,ROW(L1)),1),"")</f>
        <v/>
      </c>
      <c r="T5" s="237" t="str">
        <f>IFERROR(VLOOKUP(Kostenbegroting!A12,Inhoudsopgave!$B$5:$K$45,10,FALSE),"")</f>
        <v/>
      </c>
      <c r="U5" s="236">
        <f>COUNTA(A5:A45)</f>
        <v>0</v>
      </c>
      <c r="V5" s="236">
        <v>1</v>
      </c>
      <c r="W5" s="237"/>
    </row>
    <row r="6" spans="1:23">
      <c r="A6" s="231"/>
      <c r="B6" s="254" t="s">
        <v>715</v>
      </c>
      <c r="C6" s="250">
        <f>OVK_OK2_oude_staafmetnwe_VPB!F4</f>
        <v>88.241100000000003</v>
      </c>
      <c r="D6" s="251">
        <f>OVK_OK2_oude_staafmetnwe_VPB!G4</f>
        <v>185.9426</v>
      </c>
      <c r="E6" s="251">
        <f>OVK_OK2_oude_staafmetnwe_VPB!H4</f>
        <v>274.18369999999999</v>
      </c>
      <c r="G6" s="252">
        <f>OVK_OK2_oude_staafmetnwe_VPB!J4</f>
        <v>84</v>
      </c>
      <c r="H6" s="251">
        <f>OVK_OK2_oude_staafmetnwe_VPB!D4</f>
        <v>1093.78</v>
      </c>
      <c r="K6" s="237" t="s">
        <v>616</v>
      </c>
      <c r="O6" s="233"/>
      <c r="Q6" s="237" t="str">
        <f t="shared" si="0"/>
        <v/>
      </c>
      <c r="R6" s="237" t="str">
        <f>IFERROR(INDEX($B$1:$B$45,SMALL($Q$5:$Q$45,ROW(L2)),1),"")</f>
        <v/>
      </c>
      <c r="S6" s="255" t="str">
        <f>IFERROR(INDEX($E$1:$E$45,SMALL($Q$5:$Q$45,ROW(L2)),1),"")</f>
        <v/>
      </c>
      <c r="T6" s="237" t="str">
        <f>IFERROR(VLOOKUP(Kostenbegroting!A13,Inhoudsopgave!$B$5:$K$45,10,FALSE),"")</f>
        <v/>
      </c>
      <c r="V6" s="236">
        <v>2</v>
      </c>
      <c r="W6" s="237"/>
    </row>
    <row r="7" spans="1:23">
      <c r="A7" s="231"/>
      <c r="B7" s="254" t="s">
        <v>659</v>
      </c>
      <c r="C7" s="250">
        <f>OVK_OK2_staaf!F4</f>
        <v>49.609000000000002</v>
      </c>
      <c r="D7" s="251">
        <f>OVK_OK2_staaf!G4</f>
        <v>175.33600000000001</v>
      </c>
      <c r="E7" s="251">
        <f>OVK_OK2_staaf!H4</f>
        <v>224.94500000000002</v>
      </c>
      <c r="G7" s="252">
        <f>OVK_OK2_staaf!J4</f>
        <v>72</v>
      </c>
      <c r="H7" s="251">
        <f>OVK_OK2_staaf!D4</f>
        <v>1753.36</v>
      </c>
      <c r="K7" s="237" t="s">
        <v>617</v>
      </c>
      <c r="O7" s="233"/>
      <c r="Q7" s="237" t="str">
        <f t="shared" si="0"/>
        <v/>
      </c>
      <c r="R7" s="237" t="str">
        <f>IFERROR(INDEX($B$1:$B$45,SMALL($Q$5:$Q$45,ROW(L3)),1),"")</f>
        <v/>
      </c>
      <c r="S7" s="255" t="str">
        <f>IFERROR(INDEX($E$1:$E$45,SMALL($Q$5:$Q$45,ROW(L3)),1),"")</f>
        <v/>
      </c>
      <c r="T7" s="237" t="str">
        <f>IFERROR(VLOOKUP(Kostenbegroting!A14,Inhoudsopgave!$B$5:$K$45,10,FALSE),"")</f>
        <v/>
      </c>
      <c r="V7" s="236">
        <v>3</v>
      </c>
      <c r="W7" s="237"/>
    </row>
    <row r="8" spans="1:23">
      <c r="A8" s="231"/>
      <c r="B8" s="254" t="s">
        <v>716</v>
      </c>
      <c r="C8" s="250">
        <f>OVK_OK2_oude_staaf!F4</f>
        <v>38.585000000000001</v>
      </c>
      <c r="D8" s="250">
        <f>OVK_OK2_oude_staaf!G4</f>
        <v>72.878</v>
      </c>
      <c r="E8" s="250">
        <f>OVK_OK2_oude_staaf!H4</f>
        <v>111.46299999999999</v>
      </c>
      <c r="G8" s="256">
        <f>OVK_OK2_oude_staaf!J4</f>
        <v>84</v>
      </c>
      <c r="H8" s="250">
        <f>OVK_OK2_oude_staaf!D4</f>
        <v>728.78</v>
      </c>
      <c r="K8" s="237" t="s">
        <v>618</v>
      </c>
      <c r="O8" s="233"/>
      <c r="Q8" s="237" t="str">
        <f t="shared" si="0"/>
        <v/>
      </c>
      <c r="R8" s="237" t="str">
        <f t="shared" ref="R8:R45" si="1">IFERROR(INDEX($B$1:$B$45,SMALL($Q$5:$Q$45,ROW(Q4)),1),"")</f>
        <v/>
      </c>
      <c r="S8" s="255" t="str">
        <f t="shared" ref="S8:S45" si="2">IFERROR(INDEX($E$1:$E$45,SMALL($Q$5:$Q$45,ROW(Q4)),1),"")</f>
        <v/>
      </c>
      <c r="T8" s="237" t="str">
        <f>IFERROR(VLOOKUP(Kostenbegroting!A15,Inhoudsopgave!$B$5:$K$45,10,FALSE),"")</f>
        <v/>
      </c>
      <c r="V8" s="236">
        <v>4</v>
      </c>
      <c r="W8" s="237"/>
    </row>
    <row r="9" spans="1:23">
      <c r="A9" s="231"/>
      <c r="B9" s="254" t="s">
        <v>717</v>
      </c>
      <c r="C9" s="250">
        <f>Ovk_OK2_drukknopMETnwe_VPB!F4</f>
        <v>94.6721</v>
      </c>
      <c r="D9" s="250">
        <f>Ovk_OK2_drukknopMETnwe_VPB!G4</f>
        <v>242.55699999999999</v>
      </c>
      <c r="E9" s="250">
        <f>Ovk_OK2_drukknopMETnwe_VPB!H4</f>
        <v>337.22910000000002</v>
      </c>
      <c r="G9" s="256">
        <f>Ovk_OK2_drukknopMETnwe_VPB!J4</f>
        <v>84</v>
      </c>
      <c r="H9" s="250">
        <f>Ovk_OK2_drukknopMETnwe_VPB!D4</f>
        <v>1542.1</v>
      </c>
      <c r="K9" s="237" t="s">
        <v>619</v>
      </c>
      <c r="O9" s="233"/>
      <c r="Q9" s="237" t="str">
        <f t="shared" si="0"/>
        <v/>
      </c>
      <c r="R9" s="237" t="str">
        <f t="shared" si="1"/>
        <v/>
      </c>
      <c r="S9" s="255" t="str">
        <f t="shared" si="2"/>
        <v/>
      </c>
      <c r="T9" s="237" t="str">
        <f>IFERROR(VLOOKUP(Kostenbegroting!A16,Inhoudsopgave!$B$5:$K$45,10,FALSE),"")</f>
        <v/>
      </c>
      <c r="V9" s="236">
        <v>5</v>
      </c>
      <c r="W9" s="237"/>
    </row>
    <row r="10" spans="1:23">
      <c r="A10" s="231"/>
      <c r="B10" s="254" t="s">
        <v>718</v>
      </c>
      <c r="C10" s="250">
        <f>Ovk_OK2_oude_drukknopmetVPB!F4</f>
        <v>80.432100000000005</v>
      </c>
      <c r="D10" s="250">
        <f>Ovk_OK2_oude_drukknopmetVPB!G4</f>
        <v>214.55699999999999</v>
      </c>
      <c r="E10" s="250">
        <f>Ovk_OK2_oude_drukknopmetVPB!H4</f>
        <v>294.98910000000001</v>
      </c>
      <c r="G10" s="256">
        <f>Ovk_OK2_oude_drukknopmetVPB!J4</f>
        <v>84</v>
      </c>
      <c r="H10" s="250">
        <f>Ovk_OK2_oude_drukknopmetVPB!D4</f>
        <v>1262.0999999999999</v>
      </c>
      <c r="K10" s="237" t="s">
        <v>620</v>
      </c>
      <c r="O10" s="233"/>
      <c r="Q10" s="237" t="str">
        <f t="shared" si="0"/>
        <v/>
      </c>
      <c r="R10" s="237" t="str">
        <f t="shared" si="1"/>
        <v/>
      </c>
      <c r="S10" s="255" t="str">
        <f t="shared" si="2"/>
        <v/>
      </c>
      <c r="T10" s="237" t="str">
        <f>IFERROR(VLOOKUP(Kostenbegroting!A17,Inhoudsopgave!$B$5:$K$45,10,FALSE),"")</f>
        <v/>
      </c>
      <c r="V10" s="236">
        <v>6</v>
      </c>
      <c r="W10" s="237"/>
    </row>
    <row r="11" spans="1:23">
      <c r="A11" s="231"/>
      <c r="B11" s="254" t="s">
        <v>719</v>
      </c>
      <c r="C11" s="250">
        <f>OVK_OK2_drukknop!F4</f>
        <v>45.016000000000005</v>
      </c>
      <c r="D11" s="250">
        <f>OVK_OK2_drukknop!G4</f>
        <v>109.84400000000001</v>
      </c>
      <c r="E11" s="250">
        <f>OVK_OK2_drukknop!H4</f>
        <v>154.86000000000001</v>
      </c>
      <c r="G11" s="256">
        <f>OVK_OK2_drukknop!J4</f>
        <v>72</v>
      </c>
      <c r="H11" s="250">
        <f>OVK_OK2_drukknop!D4</f>
        <v>1098.44</v>
      </c>
      <c r="K11" s="237" t="s">
        <v>621</v>
      </c>
      <c r="O11" s="233"/>
      <c r="Q11" s="237" t="str">
        <f t="shared" si="0"/>
        <v/>
      </c>
      <c r="R11" s="237" t="str">
        <f t="shared" si="1"/>
        <v/>
      </c>
      <c r="S11" s="255" t="str">
        <f t="shared" si="2"/>
        <v/>
      </c>
      <c r="T11" s="237" t="str">
        <f>IFERROR(VLOOKUP(Kostenbegroting!A18,Inhoudsopgave!$B$5:$K$45,10,FALSE),"")</f>
        <v/>
      </c>
      <c r="V11" s="236">
        <v>7</v>
      </c>
      <c r="W11" s="237"/>
    </row>
    <row r="12" spans="1:23">
      <c r="A12" s="231"/>
      <c r="B12" s="254" t="s">
        <v>720</v>
      </c>
      <c r="C12" s="250">
        <f>OVK_OK2_oude_drukknop!F4</f>
        <v>30.776</v>
      </c>
      <c r="D12" s="250">
        <f>OVK_OK2_oude_drukknop!G4</f>
        <v>81.844000000000008</v>
      </c>
      <c r="E12" s="250">
        <f>OVK_OK2_oude_drukknop!H4</f>
        <v>112.62</v>
      </c>
      <c r="G12" s="256">
        <f>OVK_OK2_oude_drukknop!J4</f>
        <v>84</v>
      </c>
      <c r="H12" s="250">
        <f>OVK_OK2_oude_drukknop!D4</f>
        <v>818.44</v>
      </c>
      <c r="K12" s="237" t="s">
        <v>622</v>
      </c>
      <c r="O12" s="233"/>
      <c r="Q12" s="237" t="str">
        <f t="shared" si="0"/>
        <v/>
      </c>
      <c r="R12" s="237" t="str">
        <f t="shared" si="1"/>
        <v/>
      </c>
      <c r="S12" s="255" t="str">
        <f t="shared" si="2"/>
        <v/>
      </c>
      <c r="T12" s="237" t="str">
        <f>IFERROR(VLOOKUP(Kostenbegroting!A19,Inhoudsopgave!$B$5:$K$45,10,FALSE),"")</f>
        <v/>
      </c>
      <c r="V12" s="236">
        <v>8</v>
      </c>
      <c r="W12" s="237"/>
    </row>
    <row r="13" spans="1:23">
      <c r="A13" s="231"/>
      <c r="B13" s="257"/>
      <c r="D13" s="250"/>
      <c r="E13" s="250"/>
      <c r="O13" s="233"/>
      <c r="Q13" s="253" t="str">
        <f t="shared" si="0"/>
        <v/>
      </c>
      <c r="R13" s="237" t="str">
        <f t="shared" si="1"/>
        <v/>
      </c>
      <c r="S13" s="255" t="str">
        <f t="shared" si="2"/>
        <v/>
      </c>
      <c r="T13" s="237" t="str">
        <f>IFERROR(VLOOKUP(Kostenbegroting!A20,Inhoudsopgave!$B$5:$K$45,10,FALSE),"")</f>
        <v/>
      </c>
      <c r="V13" s="236">
        <v>9</v>
      </c>
      <c r="W13" s="237"/>
    </row>
    <row r="14" spans="1:23">
      <c r="A14" s="231"/>
      <c r="B14" s="254" t="s">
        <v>685</v>
      </c>
      <c r="C14" s="250">
        <f>Ovk_OK4_staafmetnwe_VPB!F4</f>
        <v>111.20910000000001</v>
      </c>
      <c r="D14" s="250">
        <f>Ovk_OK4_staafmetnwe_VPB!G4</f>
        <v>414.45119999999997</v>
      </c>
      <c r="E14" s="250">
        <f>Ovk_OK4_staafmetnwe_VPB!H4</f>
        <v>525.66030000000001</v>
      </c>
      <c r="G14" s="256">
        <f>Ovk_OK4_staafmetnwe_VPB!J4</f>
        <v>84</v>
      </c>
      <c r="H14" s="250">
        <f>Ovk_OK4_staafmetnwe_VPB!D4</f>
        <v>3246.72</v>
      </c>
      <c r="K14" s="237" t="s">
        <v>623</v>
      </c>
      <c r="O14" s="233"/>
      <c r="Q14" s="237" t="str">
        <f t="shared" ref="Q14:Q45" si="3">IF(A14&gt;0,ROW(),"")</f>
        <v/>
      </c>
      <c r="R14" s="237" t="str">
        <f t="shared" si="1"/>
        <v/>
      </c>
      <c r="S14" s="255" t="str">
        <f t="shared" si="2"/>
        <v/>
      </c>
      <c r="T14" s="237" t="str">
        <f>IFERROR(VLOOKUP(Kostenbegroting!A21,Inhoudsopgave!$B$5:$K$45,10,FALSE),"")</f>
        <v/>
      </c>
      <c r="W14" s="237"/>
    </row>
    <row r="15" spans="1:23">
      <c r="A15" s="231"/>
      <c r="B15" s="254" t="s">
        <v>721</v>
      </c>
      <c r="C15" s="250">
        <f>OVK_OK4_oude_staafmetnwe_VPB!F4</f>
        <v>90.538100000000014</v>
      </c>
      <c r="D15" s="250">
        <f>OVK_OK4_oude_staafmetnwe_VPB!G4</f>
        <v>218.0352</v>
      </c>
      <c r="E15" s="250">
        <f>OVK_OK4_oude_staafmetnwe_VPB!H4</f>
        <v>308.57330000000002</v>
      </c>
      <c r="G15" s="256">
        <f>OVK_OK4_oude_staafmetnwe_VPB!J4</f>
        <v>84</v>
      </c>
      <c r="H15" s="250">
        <f>OVK_OK4_oude_staafmetnwe_VPB!D4</f>
        <v>1282.56</v>
      </c>
      <c r="K15" s="237" t="s">
        <v>624</v>
      </c>
      <c r="O15" s="233"/>
      <c r="Q15" s="237" t="str">
        <f t="shared" si="3"/>
        <v/>
      </c>
      <c r="R15" s="237" t="str">
        <f t="shared" si="1"/>
        <v/>
      </c>
      <c r="S15" s="255" t="str">
        <f t="shared" si="2"/>
        <v/>
      </c>
      <c r="T15" s="237" t="str">
        <f>IFERROR(VLOOKUP(Kostenbegroting!A22,Inhoudsopgave!$B$5:$K$45,10,FALSE),"")</f>
        <v/>
      </c>
      <c r="W15" s="237"/>
    </row>
    <row r="16" spans="1:23">
      <c r="A16" s="231"/>
      <c r="B16" s="254" t="s">
        <v>686</v>
      </c>
      <c r="C16" s="250">
        <f>OVK_OK4_staaf!F4</f>
        <v>61.552999999999997</v>
      </c>
      <c r="D16" s="250">
        <f>OVK_OK4_staaf!G4</f>
        <v>288.17200000000003</v>
      </c>
      <c r="E16" s="250">
        <f>OVK_OK4_staaf!H4</f>
        <v>349.72500000000002</v>
      </c>
      <c r="G16" s="256">
        <f>OVK_OK4_staaf!J4</f>
        <v>72</v>
      </c>
      <c r="H16" s="250">
        <f>OVK_OK4_staaf!D4</f>
        <v>2881.72</v>
      </c>
      <c r="K16" s="237" t="s">
        <v>625</v>
      </c>
      <c r="O16" s="233"/>
      <c r="Q16" s="237" t="str">
        <f t="shared" si="3"/>
        <v/>
      </c>
      <c r="R16" s="237" t="str">
        <f t="shared" si="1"/>
        <v/>
      </c>
      <c r="S16" s="255" t="str">
        <f t="shared" si="2"/>
        <v/>
      </c>
      <c r="T16" s="237" t="str">
        <f>IFERROR(VLOOKUP(Kostenbegroting!A23,Inhoudsopgave!$B$5:$K$45,10,FALSE),"")</f>
        <v/>
      </c>
      <c r="W16" s="237"/>
    </row>
    <row r="17" spans="1:32">
      <c r="A17" s="231"/>
      <c r="B17" s="254" t="s">
        <v>722</v>
      </c>
      <c r="C17" s="250">
        <f>OVK_OK4_oude_staaf!F4</f>
        <v>40.882000000000005</v>
      </c>
      <c r="D17" s="250">
        <f>OVK_OK4_oude_staaf!G4</f>
        <v>91.756</v>
      </c>
      <c r="E17" s="250">
        <f>OVK_OK4_oude_staaf!H4</f>
        <v>132.63800000000001</v>
      </c>
      <c r="G17" s="256">
        <f>OVK_OK4_oude_staaf!J4</f>
        <v>84</v>
      </c>
      <c r="H17" s="250">
        <f>OVK_OK4_oude_staaf!D4</f>
        <v>917.56</v>
      </c>
      <c r="K17" s="237" t="s">
        <v>626</v>
      </c>
      <c r="O17" s="233"/>
      <c r="Q17" s="237" t="str">
        <f t="shared" si="3"/>
        <v/>
      </c>
      <c r="R17" s="237" t="str">
        <f t="shared" si="1"/>
        <v/>
      </c>
      <c r="S17" s="255" t="str">
        <f t="shared" si="2"/>
        <v/>
      </c>
      <c r="T17" s="237" t="str">
        <f>IFERROR(VLOOKUP(Kostenbegroting!A24,Inhoudsopgave!$B$5:$K$45,10,FALSE),"")</f>
        <v/>
      </c>
      <c r="W17" s="237"/>
    </row>
    <row r="18" spans="1:32">
      <c r="A18" s="231"/>
      <c r="B18" s="254" t="s">
        <v>723</v>
      </c>
      <c r="C18" s="250">
        <f>'OVK OK4 drukknop'!F4</f>
        <v>51.444000000000003</v>
      </c>
      <c r="D18" s="250">
        <f>'OVK OK4 drukknop'!G4</f>
        <v>179.68800000000002</v>
      </c>
      <c r="E18" s="250">
        <f>'OVK OK4 drukknop'!H4</f>
        <v>231.13200000000001</v>
      </c>
      <c r="G18" s="256"/>
      <c r="H18" s="250"/>
      <c r="K18" s="237" t="s">
        <v>627</v>
      </c>
      <c r="O18" s="233"/>
      <c r="Q18" s="237" t="str">
        <f t="shared" si="3"/>
        <v/>
      </c>
      <c r="R18" s="237" t="str">
        <f t="shared" si="1"/>
        <v/>
      </c>
      <c r="S18" s="255" t="str">
        <f t="shared" si="2"/>
        <v/>
      </c>
      <c r="T18" s="237" t="str">
        <f>IFERROR(VLOOKUP(Kostenbegroting!A25,Inhoudsopgave!$B$5:$K$45,10,FALSE),"")</f>
        <v/>
      </c>
      <c r="W18" s="237"/>
    </row>
    <row r="19" spans="1:32">
      <c r="A19" s="231"/>
      <c r="B19" s="254" t="s">
        <v>724</v>
      </c>
      <c r="C19" s="250">
        <f>'OVK OK4 oude drukknop'!F4</f>
        <v>30.776</v>
      </c>
      <c r="D19" s="250">
        <f>'OVK OK4 oude drukknop'!G4</f>
        <v>109.68800000000002</v>
      </c>
      <c r="E19" s="250">
        <f>'OVK OK4 oude drukknop'!H4</f>
        <v>140.46400000000003</v>
      </c>
      <c r="G19" s="256"/>
      <c r="H19" s="250"/>
      <c r="K19" s="237" t="s">
        <v>628</v>
      </c>
      <c r="O19" s="233"/>
      <c r="Q19" s="237" t="str">
        <f t="shared" si="3"/>
        <v/>
      </c>
      <c r="R19" s="237" t="str">
        <f t="shared" si="1"/>
        <v/>
      </c>
      <c r="S19" s="255" t="str">
        <f t="shared" si="2"/>
        <v/>
      </c>
      <c r="T19" s="237" t="str">
        <f>IFERROR(VLOOKUP(Kostenbegroting!A26,Inhoudsopgave!$B$5:$K$45,10,FALSE),"")</f>
        <v/>
      </c>
      <c r="W19" s="237"/>
    </row>
    <row r="20" spans="1:32">
      <c r="A20" s="231"/>
      <c r="B20" s="254" t="s">
        <v>648</v>
      </c>
      <c r="C20" s="250">
        <f>'Ovk OK4 drukknop+nwe VPB'!F4</f>
        <v>101.10010000000001</v>
      </c>
      <c r="D20" s="250">
        <f>'Ovk OK4 drukknop+nwe VPB'!G4</f>
        <v>304.51960000000003</v>
      </c>
      <c r="E20" s="250">
        <f>'Ovk OK4 drukknop+nwe VPB'!H4</f>
        <v>405.61970000000002</v>
      </c>
      <c r="G20" s="256"/>
      <c r="H20" s="250"/>
      <c r="K20" s="237" t="s">
        <v>629</v>
      </c>
      <c r="O20" s="233"/>
      <c r="Q20" s="237" t="str">
        <f t="shared" si="3"/>
        <v/>
      </c>
      <c r="R20" s="237" t="str">
        <f t="shared" si="1"/>
        <v/>
      </c>
      <c r="S20" s="255" t="str">
        <f t="shared" si="2"/>
        <v/>
      </c>
      <c r="T20" s="237" t="str">
        <f>IFERROR(VLOOKUP(Kostenbegroting!A27,Inhoudsopgave!$B$5:$K$45,10,FALSE),"")</f>
        <v/>
      </c>
      <c r="W20" s="237"/>
    </row>
    <row r="21" spans="1:32">
      <c r="A21" s="231"/>
      <c r="B21" s="254" t="s">
        <v>649</v>
      </c>
      <c r="C21" s="250">
        <f>'Ovk OK4 oude drukknop+nwe VPB'!F4</f>
        <v>80.432100000000005</v>
      </c>
      <c r="D21" s="250">
        <f>'Ovk OK4 oude drukknop+nwe VPB'!G4</f>
        <v>248.51960000000003</v>
      </c>
      <c r="E21" s="250">
        <f>'Ovk OK4 oude drukknop+nwe VPB'!H4</f>
        <v>328.95170000000002</v>
      </c>
      <c r="G21" s="256"/>
      <c r="H21" s="250"/>
      <c r="K21" s="237" t="s">
        <v>630</v>
      </c>
      <c r="O21" s="233"/>
      <c r="Q21" s="237" t="str">
        <f t="shared" si="3"/>
        <v/>
      </c>
      <c r="R21" s="237" t="str">
        <f t="shared" si="1"/>
        <v/>
      </c>
      <c r="S21" s="255" t="str">
        <f t="shared" si="2"/>
        <v/>
      </c>
      <c r="T21" s="237" t="str">
        <f>IFERROR(VLOOKUP(Kostenbegroting!A28,Inhoudsopgave!$B$5:$K$45,10,FALSE),"")</f>
        <v/>
      </c>
      <c r="W21" s="237"/>
    </row>
    <row r="22" spans="1:32" s="260" customFormat="1">
      <c r="A22" s="232"/>
      <c r="B22" s="257"/>
      <c r="C22" s="258"/>
      <c r="D22" s="259"/>
      <c r="E22" s="259"/>
      <c r="G22" s="261"/>
      <c r="H22" s="259"/>
      <c r="J22" s="253"/>
      <c r="K22" s="253"/>
      <c r="L22" s="253"/>
      <c r="M22" s="253"/>
      <c r="N22" s="253"/>
      <c r="P22" s="237"/>
      <c r="Q22" s="237" t="str">
        <f t="shared" si="3"/>
        <v/>
      </c>
      <c r="R22" s="237" t="str">
        <f t="shared" si="1"/>
        <v/>
      </c>
      <c r="S22" s="255" t="str">
        <f t="shared" si="2"/>
        <v/>
      </c>
      <c r="T22" s="237" t="str">
        <f>IFERROR(VLOOKUP(Kostenbegroting!#REF!,Inhoudsopgave!$B$5:$K$45,10,FALSE),"")</f>
        <v/>
      </c>
      <c r="W22" s="237"/>
      <c r="X22" s="236"/>
      <c r="Y22" s="236"/>
      <c r="Z22" s="236"/>
      <c r="AA22" s="236"/>
      <c r="AB22" s="236"/>
      <c r="AC22" s="236"/>
      <c r="AD22" s="236"/>
      <c r="AE22" s="236"/>
      <c r="AF22" s="236"/>
    </row>
    <row r="23" spans="1:32">
      <c r="A23" s="231"/>
      <c r="B23" s="262" t="s">
        <v>570</v>
      </c>
      <c r="Q23" s="237" t="str">
        <f t="shared" si="3"/>
        <v/>
      </c>
      <c r="R23" s="237" t="str">
        <f t="shared" si="1"/>
        <v/>
      </c>
      <c r="S23" s="255" t="str">
        <f t="shared" si="2"/>
        <v/>
      </c>
      <c r="T23" s="237" t="str">
        <f>IFERROR(VLOOKUP(Kostenbegroting!#REF!,Inhoudsopgave!$B$5:$K$45,10,FALSE),"")</f>
        <v/>
      </c>
      <c r="W23" s="237"/>
    </row>
    <row r="24" spans="1:32">
      <c r="A24" s="231"/>
      <c r="B24" s="254" t="s">
        <v>687</v>
      </c>
      <c r="C24" s="250">
        <f>OVK_BK4_nieuwe_staaf!F4</f>
        <v>49.242400000000004</v>
      </c>
      <c r="D24" s="250">
        <f>OVK_BK4_nieuwe_staaf!G4</f>
        <v>230.5376</v>
      </c>
      <c r="E24" s="250">
        <f>OVK_BK4_nieuwe_staaf!H4</f>
        <v>279.77999999999997</v>
      </c>
      <c r="G24" s="256">
        <f>OVK_BK4_nieuwe_staaf!J4</f>
        <v>84</v>
      </c>
      <c r="H24" s="250">
        <f>OVK_BK4_nieuwe_staaf!D4</f>
        <v>2881.72</v>
      </c>
      <c r="K24" s="237" t="s">
        <v>631</v>
      </c>
      <c r="O24" s="233"/>
      <c r="Q24" s="237" t="str">
        <f t="shared" si="3"/>
        <v/>
      </c>
      <c r="R24" s="237" t="str">
        <f t="shared" si="1"/>
        <v/>
      </c>
      <c r="S24" s="255" t="str">
        <f t="shared" si="2"/>
        <v/>
      </c>
      <c r="T24" s="237" t="str">
        <f>IFERROR(VLOOKUP(Kostenbegroting!A32,Inhoudsopgave!$B$5:$K$45,10,FALSE),"")</f>
        <v/>
      </c>
      <c r="W24" s="237"/>
    </row>
    <row r="25" spans="1:32">
      <c r="A25" s="231"/>
      <c r="B25" s="254" t="s">
        <v>688</v>
      </c>
      <c r="C25" s="250">
        <f>OVK_BK4_nieuwe_staafmetmetaal!F4</f>
        <v>34.726799999999997</v>
      </c>
      <c r="D25" s="250">
        <f>OVK_BK4_nieuwe_staafmetmetaal!G4</f>
        <v>83.8048</v>
      </c>
      <c r="E25" s="250">
        <f>OVK_BK4_nieuwe_staafmetmetaal!H4</f>
        <v>118.5316</v>
      </c>
      <c r="G25" s="256">
        <f>OVK_BK4_nieuwe_staafmetmetaal!J4</f>
        <v>84</v>
      </c>
      <c r="H25" s="250">
        <f>OVK_BK4_nieuwe_staafmetmetaal!D4</f>
        <v>1047.56</v>
      </c>
      <c r="K25" s="237" t="s">
        <v>693</v>
      </c>
      <c r="O25" s="233"/>
      <c r="Q25" s="237" t="str">
        <f t="shared" si="3"/>
        <v/>
      </c>
      <c r="R25" s="237" t="str">
        <f t="shared" si="1"/>
        <v/>
      </c>
      <c r="S25" s="255" t="str">
        <f t="shared" si="2"/>
        <v/>
      </c>
      <c r="T25" s="237" t="str">
        <f>IFERROR(VLOOKUP(Kostenbegroting!A33,Inhoudsopgave!$B$5:$K$45,10,FALSE),"")</f>
        <v/>
      </c>
      <c r="W25" s="237"/>
    </row>
    <row r="26" spans="1:32">
      <c r="A26" s="231"/>
      <c r="B26" s="254" t="s">
        <v>650</v>
      </c>
      <c r="C26" s="250">
        <f>OVK_BK4_bestaande_staaf!F4</f>
        <v>32.705599999999997</v>
      </c>
      <c r="D26" s="250">
        <f>OVK_BK4_bestaande_staaf!G4</f>
        <v>73.404799999999994</v>
      </c>
      <c r="E26" s="250">
        <f>OVK_BK4_bestaande_staaf!H4</f>
        <v>106.1104</v>
      </c>
      <c r="G26" s="256">
        <f>OVK_BK4_bestaande_staaf!J4</f>
        <v>84</v>
      </c>
      <c r="H26" s="250">
        <f>OVK_BK4_bestaande_staaf!D4</f>
        <v>917.56</v>
      </c>
      <c r="K26" s="237" t="s">
        <v>694</v>
      </c>
      <c r="O26" s="233"/>
      <c r="Q26" s="237" t="str">
        <f t="shared" si="3"/>
        <v/>
      </c>
      <c r="R26" s="237" t="str">
        <f t="shared" si="1"/>
        <v/>
      </c>
      <c r="S26" s="255" t="str">
        <f t="shared" si="2"/>
        <v/>
      </c>
      <c r="T26" s="237" t="str">
        <f>IFERROR(VLOOKUP(Kostenbegroting!#REF!,Inhoudsopgave!$B$5:$K$45,10,FALSE),"")</f>
        <v/>
      </c>
      <c r="W26" s="237"/>
    </row>
    <row r="27" spans="1:32">
      <c r="A27" s="231"/>
      <c r="B27" s="254" t="s">
        <v>651</v>
      </c>
      <c r="C27" s="250">
        <f>OVK_BK4_bestaande_staafmemetaal!F4</f>
        <v>49.242400000000004</v>
      </c>
      <c r="D27" s="250">
        <f>OVK_BK4_bestaande_staafmemetaal!G4</f>
        <v>83.8048</v>
      </c>
      <c r="E27" s="250">
        <f>OVK_BK4_bestaande_staafmemetaal!H4</f>
        <v>133.0472</v>
      </c>
      <c r="G27" s="256">
        <f>OVK_BK4_bestaande_staafmemetaal!J4</f>
        <v>84</v>
      </c>
      <c r="H27" s="250">
        <f>OVK_BK4_bestaande_staafmemetaal!D4</f>
        <v>1047.56</v>
      </c>
      <c r="K27" s="237" t="s">
        <v>714</v>
      </c>
      <c r="O27" s="233"/>
      <c r="Q27" s="237" t="str">
        <f t="shared" si="3"/>
        <v/>
      </c>
      <c r="R27" s="237" t="str">
        <f t="shared" si="1"/>
        <v/>
      </c>
      <c r="S27" s="255" t="str">
        <f t="shared" si="2"/>
        <v/>
      </c>
      <c r="T27" s="237" t="str">
        <f>IFERROR(VLOOKUP(Kostenbegroting!A34,Inhoudsopgave!$B$5:$K$45,10,FALSE),"")</f>
        <v/>
      </c>
      <c r="W27" s="237"/>
    </row>
    <row r="28" spans="1:32">
      <c r="A28" s="231"/>
      <c r="B28" s="254" t="s">
        <v>652</v>
      </c>
      <c r="C28" s="250">
        <f>OVK_BK4_drukknop!F4</f>
        <v>41.155200000000001</v>
      </c>
      <c r="D28" s="250">
        <f>OVK_BK4_drukknop!G4</f>
        <v>132.55040000000002</v>
      </c>
      <c r="E28" s="250">
        <f>OVK_BK4_drukknop!H4</f>
        <v>173.70560000000003</v>
      </c>
      <c r="G28" s="256">
        <f>OVK_BK4_drukknop!J4</f>
        <v>84</v>
      </c>
      <c r="H28" s="250">
        <f>OVK_BK4_drukknop!D4</f>
        <v>1656.88</v>
      </c>
      <c r="K28" s="237" t="s">
        <v>695</v>
      </c>
      <c r="O28" s="233"/>
      <c r="Q28" s="237" t="str">
        <f t="shared" si="3"/>
        <v/>
      </c>
      <c r="R28" s="237" t="str">
        <f t="shared" si="1"/>
        <v/>
      </c>
      <c r="S28" s="255" t="str">
        <f t="shared" si="2"/>
        <v/>
      </c>
      <c r="T28" s="237" t="str">
        <f>IFERROR(VLOOKUP(Kostenbegroting!A35,Inhoudsopgave!$B$5:$K$45,10,FALSE),"")</f>
        <v/>
      </c>
      <c r="W28" s="237"/>
    </row>
    <row r="29" spans="1:32">
      <c r="A29" s="231"/>
      <c r="B29" s="254" t="s">
        <v>653</v>
      </c>
      <c r="C29" s="250">
        <f>OVK_BK4_bestaande_drukknop!F4</f>
        <v>24.620799999999999</v>
      </c>
      <c r="D29" s="250">
        <f>OVK_BK4_bestaande_drukknop!G4</f>
        <v>87.750400000000013</v>
      </c>
      <c r="E29" s="250">
        <f>OVK_BK4_bestaande_drukknop!H4</f>
        <v>112.37120000000002</v>
      </c>
      <c r="G29" s="256">
        <f>OVK_BK4_bestaande_drukknop!J4</f>
        <v>84</v>
      </c>
      <c r="H29" s="250">
        <f>OVK_BK4_bestaande_drukknop!D4</f>
        <v>1096.8800000000001</v>
      </c>
      <c r="K29" s="237" t="s">
        <v>696</v>
      </c>
      <c r="O29" s="233"/>
      <c r="Q29" s="237" t="str">
        <f t="shared" si="3"/>
        <v/>
      </c>
      <c r="R29" s="237" t="str">
        <f t="shared" si="1"/>
        <v/>
      </c>
      <c r="S29" s="255" t="str">
        <f t="shared" si="2"/>
        <v/>
      </c>
      <c r="T29" s="237" t="str">
        <f>IFERROR(VLOOKUP(Kostenbegroting!A36,Inhoudsopgave!$B$5:$K$45,10,FALSE),"")</f>
        <v/>
      </c>
      <c r="W29" s="237"/>
    </row>
    <row r="30" spans="1:32">
      <c r="A30" s="231"/>
      <c r="B30" s="257"/>
      <c r="Q30" s="237" t="str">
        <f t="shared" si="3"/>
        <v/>
      </c>
      <c r="R30" s="237" t="str">
        <f t="shared" si="1"/>
        <v/>
      </c>
      <c r="S30" s="255" t="str">
        <f t="shared" si="2"/>
        <v/>
      </c>
      <c r="T30" s="237" t="str">
        <f>IFERROR(VLOOKUP(Kostenbegroting!A37,Inhoudsopgave!$B$5:$K$45,10,FALSE),"")</f>
        <v/>
      </c>
      <c r="W30" s="237"/>
    </row>
    <row r="31" spans="1:32">
      <c r="A31" s="231"/>
      <c r="B31" s="254" t="s">
        <v>689</v>
      </c>
      <c r="C31" s="250">
        <f>OVK_BK6_nieuwe_staaf!F4</f>
        <v>58.797600000000003</v>
      </c>
      <c r="D31" s="250">
        <f>OVK_BK6_nieuwe_staaf!G4</f>
        <v>320.8064</v>
      </c>
      <c r="E31" s="250">
        <f>OVK_BK6_nieuwe_staaf!H4</f>
        <v>379.60399999999998</v>
      </c>
      <c r="G31" s="256">
        <f>OVK_BK6_nieuwe_staaf!J4</f>
        <v>84</v>
      </c>
      <c r="H31" s="250">
        <f>OVK_BK6_nieuwe_staaf!D4</f>
        <v>4010.08</v>
      </c>
      <c r="K31" s="237" t="s">
        <v>697</v>
      </c>
      <c r="O31" s="233"/>
      <c r="Q31" s="237" t="str">
        <f t="shared" si="3"/>
        <v/>
      </c>
      <c r="R31" s="237" t="str">
        <f t="shared" si="1"/>
        <v/>
      </c>
      <c r="S31" s="255" t="str">
        <f t="shared" si="2"/>
        <v/>
      </c>
      <c r="T31" s="237" t="str">
        <f>IFERROR(VLOOKUP(Kostenbegroting!A38,Inhoudsopgave!$B$5:$K$45,10,FALSE),"")</f>
        <v/>
      </c>
      <c r="W31" s="237"/>
    </row>
    <row r="32" spans="1:32">
      <c r="A32" s="231"/>
      <c r="B32" s="254" t="s">
        <v>690</v>
      </c>
      <c r="C32" s="250">
        <f>OVK_BK6_nieuwe_staafmetmetaal!F4</f>
        <v>58.797600000000003</v>
      </c>
      <c r="D32" s="250">
        <f>OVK_BK6_nieuwe_staafmetmetaal!G4</f>
        <v>331.20640000000003</v>
      </c>
      <c r="E32" s="250">
        <f>OVK_BK6_nieuwe_staafmetmetaal!H4</f>
        <v>390.00400000000002</v>
      </c>
      <c r="G32" s="256">
        <f>OVK_BK6_nieuwe_staafmetmetaal!J4</f>
        <v>84</v>
      </c>
      <c r="H32" s="250">
        <f>OVK_BK6_nieuwe_staafmetmetaal!D4</f>
        <v>4140.08</v>
      </c>
      <c r="K32" s="237" t="s">
        <v>698</v>
      </c>
      <c r="O32" s="233"/>
      <c r="Q32" s="237" t="str">
        <f t="shared" si="3"/>
        <v/>
      </c>
      <c r="R32" s="237" t="str">
        <f t="shared" si="1"/>
        <v/>
      </c>
      <c r="S32" s="255" t="str">
        <f t="shared" si="2"/>
        <v/>
      </c>
      <c r="T32" s="237" t="str">
        <f>IFERROR(VLOOKUP(Kostenbegroting!A39,Inhoudsopgave!$B$5:$K$45,10,FALSE),"")</f>
        <v/>
      </c>
      <c r="W32" s="237"/>
    </row>
    <row r="33" spans="1:23" s="260" customFormat="1">
      <c r="A33" s="232"/>
      <c r="B33" s="254" t="s">
        <v>654</v>
      </c>
      <c r="C33" s="258">
        <f>OVK_BK6_bestaande_staaf!F4</f>
        <v>34.542400000000001</v>
      </c>
      <c r="D33" s="258">
        <f>OVK_BK6_bestaande_staaf!G4</f>
        <v>88.507199999999997</v>
      </c>
      <c r="E33" s="258">
        <f>OVK_BK6_bestaande_staaf!H4</f>
        <v>123.0496</v>
      </c>
      <c r="G33" s="263">
        <f>OVK_BK6_bestaande_staaf!J4</f>
        <v>84</v>
      </c>
      <c r="H33" s="258">
        <f>OVK_BK6_bestaande_staaf!D4</f>
        <v>1106.3399999999999</v>
      </c>
      <c r="J33" s="253"/>
      <c r="K33" s="253" t="s">
        <v>699</v>
      </c>
      <c r="L33" s="253"/>
      <c r="M33" s="253"/>
      <c r="N33" s="253"/>
      <c r="O33" s="233"/>
      <c r="P33" s="237"/>
      <c r="Q33" s="237" t="str">
        <f t="shared" si="3"/>
        <v/>
      </c>
      <c r="R33" s="237" t="str">
        <f t="shared" si="1"/>
        <v/>
      </c>
      <c r="S33" s="255" t="str">
        <f t="shared" si="2"/>
        <v/>
      </c>
      <c r="T33" s="237" t="str">
        <f>IFERROR(VLOOKUP(Kostenbegroting!A40,Inhoudsopgave!$B$5:$K$45,10,FALSE),"")</f>
        <v/>
      </c>
      <c r="W33" s="237"/>
    </row>
    <row r="34" spans="1:23">
      <c r="A34" s="231"/>
      <c r="B34" s="254" t="s">
        <v>655</v>
      </c>
      <c r="C34" s="250">
        <f>OVK_BK6_bestaande_staaf_metaal!F4</f>
        <v>34.542400000000001</v>
      </c>
      <c r="D34" s="250">
        <f>OVK_BK6_bestaande_staaf_metaal!G4</f>
        <v>98.907199999999989</v>
      </c>
      <c r="E34" s="250">
        <f>OVK_BK6_bestaande_staaf_metaal!H4</f>
        <v>133.44959999999998</v>
      </c>
      <c r="G34" s="256">
        <f>OVK_BK6_bestaande_staaf_metaal!J4</f>
        <v>84</v>
      </c>
      <c r="H34" s="250">
        <f>OVK_BK6_bestaande_staaf_metaal!D4</f>
        <v>1236.3399999999999</v>
      </c>
      <c r="K34" s="253" t="s">
        <v>700</v>
      </c>
      <c r="O34" s="233"/>
      <c r="Q34" s="237" t="str">
        <f t="shared" si="3"/>
        <v/>
      </c>
      <c r="R34" s="237" t="str">
        <f t="shared" si="1"/>
        <v/>
      </c>
      <c r="S34" s="255" t="str">
        <f t="shared" si="2"/>
        <v/>
      </c>
      <c r="T34" s="237" t="str">
        <f>IFERROR(VLOOKUP(Kostenbegroting!A41,Inhoudsopgave!$B$5:$K$45,10,FALSE),"")</f>
        <v/>
      </c>
      <c r="W34" s="237"/>
    </row>
    <row r="35" spans="1:23">
      <c r="A35" s="231"/>
      <c r="B35" s="254" t="s">
        <v>656</v>
      </c>
      <c r="C35" s="250">
        <f>OVK_BK6_drukknop!F4</f>
        <v>46.297600000000003</v>
      </c>
      <c r="D35" s="250">
        <f>OVK_BK6_drukknop!G4</f>
        <v>177.22559999999999</v>
      </c>
      <c r="E35" s="250">
        <f>OVK_BK6_drukknop!H4</f>
        <v>223.52319999999997</v>
      </c>
      <c r="G35" s="256">
        <f>OVK_BK6_drukknop!J4</f>
        <v>84</v>
      </c>
      <c r="H35" s="250">
        <f>OVK_BK6_drukknop!D4</f>
        <v>1795.32</v>
      </c>
      <c r="K35" s="253" t="s">
        <v>701</v>
      </c>
      <c r="O35" s="233"/>
      <c r="Q35" s="237" t="str">
        <f t="shared" si="3"/>
        <v/>
      </c>
      <c r="R35" s="237" t="str">
        <f t="shared" si="1"/>
        <v/>
      </c>
      <c r="S35" s="255" t="str">
        <f t="shared" si="2"/>
        <v/>
      </c>
      <c r="T35" s="237" t="str">
        <f>IFERROR(VLOOKUP(Kostenbegroting!A42,Inhoudsopgave!$B$5:$K$45,10,FALSE),"")</f>
        <v/>
      </c>
      <c r="W35" s="237"/>
    </row>
    <row r="36" spans="1:23">
      <c r="A36" s="231"/>
      <c r="B36" s="254" t="s">
        <v>657</v>
      </c>
      <c r="C36" s="250">
        <f>OVK_BK6_bestaandedrukknop!F4</f>
        <v>24.620799999999999</v>
      </c>
      <c r="D36" s="250">
        <f>OVK_BK6_bestaandedrukknop!G4</f>
        <v>110.0256</v>
      </c>
      <c r="E36" s="250">
        <f>OVK_BK6_bestaandedrukknop!H4</f>
        <v>134.6464</v>
      </c>
      <c r="G36" s="256">
        <f>OVK_BK6_bestaandedrukknop!J4</f>
        <v>84</v>
      </c>
      <c r="H36" s="250">
        <f>OVK_BK6_bestaandedrukknop!D4</f>
        <v>1375.32</v>
      </c>
      <c r="K36" s="253" t="s">
        <v>702</v>
      </c>
      <c r="O36" s="233"/>
      <c r="Q36" s="237" t="str">
        <f t="shared" si="3"/>
        <v/>
      </c>
      <c r="R36" s="237" t="str">
        <f t="shared" si="1"/>
        <v/>
      </c>
      <c r="S36" s="255" t="str">
        <f t="shared" si="2"/>
        <v/>
      </c>
      <c r="T36" s="237" t="str">
        <f>IFERROR(VLOOKUP(Kostenbegroting!A43,Inhoudsopgave!$B$5:$K$45,10,FALSE),"")</f>
        <v/>
      </c>
      <c r="W36" s="237"/>
    </row>
    <row r="37" spans="1:23">
      <c r="A37" s="231"/>
      <c r="B37" s="264"/>
      <c r="Q37" s="237" t="str">
        <f t="shared" si="3"/>
        <v/>
      </c>
      <c r="R37" s="237" t="str">
        <f t="shared" si="1"/>
        <v/>
      </c>
      <c r="S37" s="255" t="str">
        <f t="shared" si="2"/>
        <v/>
      </c>
      <c r="T37" s="237" t="str">
        <f>IFERROR(VLOOKUP(Kostenbegroting!A44,Inhoudsopgave!$B$5:$K$45,10,FALSE),"")</f>
        <v/>
      </c>
      <c r="W37" s="237"/>
    </row>
    <row r="38" spans="1:23" s="260" customFormat="1">
      <c r="A38" s="232"/>
      <c r="B38" s="264"/>
      <c r="C38" s="258"/>
      <c r="D38" s="259"/>
      <c r="E38" s="259"/>
      <c r="G38" s="261"/>
      <c r="H38" s="259"/>
      <c r="J38" s="253"/>
      <c r="K38" s="253"/>
      <c r="L38" s="253"/>
      <c r="M38" s="253"/>
      <c r="N38" s="253"/>
      <c r="P38" s="253"/>
      <c r="Q38" s="237" t="str">
        <f t="shared" si="3"/>
        <v/>
      </c>
      <c r="R38" s="237" t="str">
        <f t="shared" si="1"/>
        <v/>
      </c>
      <c r="S38" s="255" t="str">
        <f t="shared" si="2"/>
        <v/>
      </c>
      <c r="T38" s="237" t="str">
        <f>IFERROR(VLOOKUP(Kostenbegroting!A45,Inhoudsopgave!$B$5:$K$45,10,FALSE),"")</f>
        <v/>
      </c>
      <c r="W38" s="237"/>
    </row>
    <row r="39" spans="1:23" ht="18.75">
      <c r="A39" s="231"/>
      <c r="B39" s="265" t="s">
        <v>95</v>
      </c>
      <c r="C39" s="245"/>
      <c r="D39" s="266"/>
      <c r="E39" s="266"/>
      <c r="F39" s="267"/>
      <c r="G39" s="248"/>
      <c r="H39" s="266"/>
      <c r="Q39" s="237" t="str">
        <f t="shared" si="3"/>
        <v/>
      </c>
      <c r="R39" s="237" t="str">
        <f t="shared" si="1"/>
        <v/>
      </c>
      <c r="S39" s="255" t="str">
        <f t="shared" si="2"/>
        <v/>
      </c>
      <c r="T39" s="237" t="str">
        <f>IFERROR(VLOOKUP(Kostenbegroting!A46,Inhoudsopgave!$B$5:$K$45,10,FALSE),"")</f>
        <v/>
      </c>
      <c r="W39" s="237"/>
    </row>
    <row r="40" spans="1:23">
      <c r="A40" s="231"/>
      <c r="B40" s="254" t="s">
        <v>98</v>
      </c>
      <c r="C40" s="250">
        <f>VPOmetVPB!F4</f>
        <v>138.4975</v>
      </c>
      <c r="D40" s="250">
        <f>VPOmetVPB!G4</f>
        <v>182.25</v>
      </c>
      <c r="E40" s="250">
        <f>VPOmetVPB!H4</f>
        <v>320.7475</v>
      </c>
      <c r="G40" s="256">
        <f>VPOmetVPB!J4</f>
        <v>84</v>
      </c>
      <c r="H40" s="250">
        <f>VPOmetVPB!D4</f>
        <v>729</v>
      </c>
      <c r="K40" s="237" t="s">
        <v>703</v>
      </c>
      <c r="O40" s="233"/>
      <c r="Q40" s="237" t="str">
        <f t="shared" si="3"/>
        <v/>
      </c>
      <c r="R40" s="237" t="str">
        <f t="shared" si="1"/>
        <v/>
      </c>
      <c r="S40" s="255" t="str">
        <f t="shared" si="2"/>
        <v/>
      </c>
      <c r="T40" s="237" t="str">
        <f>IFERROR(VLOOKUP(Kostenbegroting!A47,Inhoudsopgave!$B$5:$K$45,10,FALSE),"")</f>
        <v/>
      </c>
      <c r="W40" s="237"/>
    </row>
    <row r="41" spans="1:23">
      <c r="A41" s="231"/>
      <c r="B41" s="254" t="s">
        <v>99</v>
      </c>
      <c r="C41" s="250">
        <f>VPO!F4</f>
        <v>90.089999999999989</v>
      </c>
      <c r="D41" s="250">
        <f>VPO!G4</f>
        <v>104</v>
      </c>
      <c r="E41" s="250">
        <f>VPO!H4</f>
        <v>194.08999999999997</v>
      </c>
      <c r="G41" s="256">
        <f>VPO!J4</f>
        <v>84</v>
      </c>
      <c r="H41" s="250">
        <f>VPO!D4</f>
        <v>416</v>
      </c>
      <c r="K41" s="237" t="s">
        <v>704</v>
      </c>
      <c r="O41" s="233"/>
      <c r="Q41" s="237" t="str">
        <f t="shared" si="3"/>
        <v/>
      </c>
      <c r="R41" s="237" t="str">
        <f t="shared" si="1"/>
        <v/>
      </c>
      <c r="S41" s="255" t="str">
        <f t="shared" si="2"/>
        <v/>
      </c>
      <c r="T41" s="237" t="str">
        <f>IFERROR(VLOOKUP(Kostenbegroting!A48,Inhoudsopgave!$B$5:$K$45,10,FALSE),"")</f>
        <v/>
      </c>
      <c r="W41" s="237"/>
    </row>
    <row r="42" spans="1:23">
      <c r="A42" s="231"/>
      <c r="B42" s="254" t="s">
        <v>100</v>
      </c>
      <c r="C42" s="250">
        <f>VPB!F4</f>
        <v>76.64500000000001</v>
      </c>
      <c r="D42" s="250">
        <f>VPB!G4</f>
        <v>104</v>
      </c>
      <c r="E42" s="250">
        <f>VPB!H4</f>
        <v>180.64500000000001</v>
      </c>
      <c r="G42" s="256">
        <f>VPB!J4</f>
        <v>84</v>
      </c>
      <c r="H42" s="250">
        <f>VPB!D4</f>
        <v>416</v>
      </c>
      <c r="K42" s="237" t="s">
        <v>705</v>
      </c>
      <c r="O42" s="233"/>
      <c r="Q42" s="237" t="str">
        <f t="shared" si="3"/>
        <v/>
      </c>
      <c r="R42" s="237" t="str">
        <f t="shared" si="1"/>
        <v/>
      </c>
      <c r="S42" s="255" t="str">
        <f t="shared" si="2"/>
        <v/>
      </c>
      <c r="T42" s="237" t="str">
        <f>IFERROR(VLOOKUP(Kostenbegroting!A49,Inhoudsopgave!$B$5:$K$45,10,FALSE),"")</f>
        <v/>
      </c>
      <c r="W42" s="237"/>
    </row>
    <row r="43" spans="1:23">
      <c r="A43" s="231"/>
      <c r="B43" s="254" t="s">
        <v>128</v>
      </c>
      <c r="C43" s="250">
        <f>Rebasing_VPBofVPO!F4</f>
        <v>8.096433797159662</v>
      </c>
      <c r="D43" s="250">
        <f>Rebasing_VPBofVPO!G4</f>
        <v>9.5</v>
      </c>
      <c r="E43" s="250">
        <f>Rebasing_VPBofVPO!H4</f>
        <v>17.596433797159662</v>
      </c>
      <c r="G43" s="256">
        <f>Rebasing_VPBofVPO!J4</f>
        <v>24</v>
      </c>
      <c r="H43" s="250">
        <f>Rebasing_VPBofVPO!D4</f>
        <v>95</v>
      </c>
      <c r="K43" s="237" t="s">
        <v>706</v>
      </c>
      <c r="O43" s="233"/>
      <c r="Q43" s="237" t="str">
        <f t="shared" si="3"/>
        <v/>
      </c>
      <c r="R43" s="237" t="str">
        <f t="shared" si="1"/>
        <v/>
      </c>
      <c r="S43" s="255" t="str">
        <f t="shared" si="2"/>
        <v/>
      </c>
      <c r="T43" s="237" t="str">
        <f>IFERROR(VLOOKUP(Kostenbegroting!A50,Inhoudsopgave!$B$5:$K$45,10,FALSE),"")</f>
        <v/>
      </c>
      <c r="W43" s="237"/>
    </row>
    <row r="44" spans="1:23">
      <c r="A44" s="231"/>
      <c r="B44" s="254" t="s">
        <v>568</v>
      </c>
      <c r="C44" s="250">
        <f>Reparatie_VPBofVPOzonderafdruk!F4</f>
        <v>4.3183703916224365</v>
      </c>
      <c r="D44" s="250">
        <f>Reparatie_VPBofVPOzonderafdruk!G4</f>
        <v>0</v>
      </c>
      <c r="E44" s="250">
        <f>Reparatie_VPBofVPOzonderafdruk!H4</f>
        <v>4.3183703916224365</v>
      </c>
      <c r="G44" s="256">
        <f>Reparatie_VPBofVPOzonderafdruk!J4</f>
        <v>12</v>
      </c>
      <c r="H44" s="250">
        <f>Reparatie_VPBofVPOzonderafdruk!D4</f>
        <v>0</v>
      </c>
      <c r="K44" s="237" t="s">
        <v>707</v>
      </c>
      <c r="O44" s="233"/>
      <c r="Q44" s="237" t="str">
        <f t="shared" si="3"/>
        <v/>
      </c>
      <c r="R44" s="237" t="str">
        <f t="shared" si="1"/>
        <v/>
      </c>
      <c r="S44" s="255" t="str">
        <f t="shared" si="2"/>
        <v/>
      </c>
      <c r="T44" s="237" t="str">
        <f>IFERROR(VLOOKUP(Kostenbegroting!A51,Inhoudsopgave!$B$5:$K$45,10,FALSE),"")</f>
        <v/>
      </c>
      <c r="W44" s="237"/>
    </row>
    <row r="45" spans="1:23">
      <c r="A45" s="231"/>
      <c r="B45" s="254" t="s">
        <v>647</v>
      </c>
      <c r="C45" s="250">
        <f>Reparatie_VPBofVPOmetafdruk!F4</f>
        <v>4.3183703916224365</v>
      </c>
      <c r="D45" s="250">
        <f>Reparatie_VPBofVPOmetafdruk!G4</f>
        <v>0</v>
      </c>
      <c r="E45" s="250">
        <f>Reparatie_VPBofVPOmetafdruk!H4</f>
        <v>4.3183703916224365</v>
      </c>
      <c r="G45" s="256">
        <f>Reparatie_VPBofVPOmetafdruk!J4</f>
        <v>12</v>
      </c>
      <c r="H45" s="250">
        <f>Reparatie_VPBofVPOmetafdruk!D4</f>
        <v>0</v>
      </c>
      <c r="K45" s="237" t="s">
        <v>708</v>
      </c>
      <c r="O45" s="233"/>
      <c r="Q45" s="237" t="str">
        <f t="shared" si="3"/>
        <v/>
      </c>
      <c r="R45" s="237" t="str">
        <f t="shared" si="1"/>
        <v/>
      </c>
      <c r="S45" s="255" t="str">
        <f t="shared" si="2"/>
        <v/>
      </c>
      <c r="T45" s="237" t="str">
        <f>IFERROR(VLOOKUP(Kostenbegroting!A52,Inhoudsopgave!$B$5:$K$45,10,FALSE),"")</f>
        <v/>
      </c>
      <c r="W45" s="237"/>
    </row>
    <row r="46" spans="1:23">
      <c r="A46" s="230"/>
      <c r="B46" s="264"/>
    </row>
    <row r="47" spans="1:23">
      <c r="A47" s="230"/>
      <c r="B47" s="264"/>
    </row>
    <row r="48" spans="1:23" ht="18.75">
      <c r="A48" s="230"/>
      <c r="B48" s="265" t="s">
        <v>101</v>
      </c>
      <c r="C48" s="245"/>
      <c r="D48" s="266"/>
      <c r="E48" s="266"/>
      <c r="F48" s="267"/>
      <c r="G48" s="248"/>
      <c r="H48" s="266"/>
    </row>
    <row r="49" spans="1:2">
      <c r="A49" s="230"/>
      <c r="B49" s="268" t="s">
        <v>101</v>
      </c>
    </row>
  </sheetData>
  <sheetProtection sheet="1" objects="1" scenarios="1"/>
  <mergeCells count="2">
    <mergeCell ref="C1:E1"/>
    <mergeCell ref="G1:H1"/>
  </mergeCells>
  <phoneticPr fontId="26" type="noConversion"/>
  <hyperlinks>
    <hyperlink ref="B49" location="Kengetallen!A1" display="Kengetallen"/>
    <hyperlink ref="B40" location="VPOmetVPB!A1" display="Volledige onder- en bovenprothese"/>
    <hyperlink ref="B41" location="VPO!A1" display="Volledige onderprothese"/>
    <hyperlink ref="B42" location="VPB!A1" display="Volledige bovenprothese"/>
    <hyperlink ref="B45" location="Reparatie_VPBofVPOmetafdruk!A1" display="Reparatie volledige onder- of bovenprothese met afdruk"/>
    <hyperlink ref="B44" location="Reparatie_VPBofVPOzonderafdruk!A1" display="Reparatie volledige onder- of bovenprothese zonder afdruk"/>
    <hyperlink ref="B43" location="Rebasing_VPBofVPO!A1" display="Relining volledige onder- of bovenprothese"/>
    <hyperlink ref="B34" location="OVK_BK6_bestaande_staaf_metaal!A1" display="Bovenprothese op 6 implantaten op bestaande staaf metaalversteviging"/>
    <hyperlink ref="B29" location="OVK_BK4_bestaande_drukknop!A1" display="Bovenprothese op 4 implantaten op bestaande drukknoppen"/>
    <hyperlink ref="B25" location="OVK_BK4_nieuwe_staafmetmetaal!A1" display="Bovenprothese op 4 implantaten op staaf met metaalversteviging"/>
    <hyperlink ref="B33" location="OVK_BK6_bestaande_staaf!A1" display="Bovenprothese op 6 implantaten op bestaande staaf"/>
    <hyperlink ref="B32" location="OVK_BK6_nieuwe_staafmetmetaal!A1" display="Bovenprothese op 6 implantaten op staaf met metaalversteviging"/>
    <hyperlink ref="B26" location="OVK_BK4_bestaande_staaf!A1" display="Bovenprothese op 4 implantaten op bestaande staaf"/>
    <hyperlink ref="B28" location="OVK_BK4_drukknop!A1" display="Bovenprothese op 4 implantaten op drukknoppen"/>
    <hyperlink ref="B24" location="OVK_BK4_nieuwe_staaf!A1" display="Bovenprothese op 4 implantaten op staaf"/>
    <hyperlink ref="B17" location="OVK_OK4_oude_staaf!A1" display="Onderprothese op 4 implantaten op bestaande staaf"/>
    <hyperlink ref="B16" location="OVK_OK4_staaf!A1" display="Onderprothese op 4 implantaten op staaf"/>
    <hyperlink ref="B15" location="OVK_OK4_oude_staafmetnwe_VPB!A1" display="Onderprothese op 4 implantaten op bestaande staaf en nieuwe bovenprothese"/>
    <hyperlink ref="B14" location="Ovk_OK4_staafmetnwe_VPB!A1" display="Onderprothese op 4 implantaten op staaf en nieuwe bovenprothese"/>
    <hyperlink ref="B12" location="OVK_OK2_oude_drukknop!A1" display="Onderprothese op 2 implantaten op bestaande drukknoppen"/>
    <hyperlink ref="B8" location="OVK_OK2_oude_staaf!A1" display="Onderprothese op 2 implantaten op bestaande staaf"/>
    <hyperlink ref="B7" location="OVK_OK2_staaf!A1" display="Onderprothese op 2 implantaten op staaf"/>
    <hyperlink ref="B6" location="OVK_OK2_oude_staafmetnwe_VPB!A1" display="Onderprothese op 2 implantaten op bestaande staaf en nieuwe bovenprothese"/>
    <hyperlink ref="B11" location="OVK_OK2_drukknop!A1" display="Onderprothese op 2 implantaten op drukknoppen"/>
    <hyperlink ref="B10" location="Ovk_OK2_oude_drukknopmetVPB!A1" display="Onderprothese op 2 implantaten op bestaande drukknoppen en nieuwe bovenprothese"/>
    <hyperlink ref="B9" location="Ovk_OK2_drukknopMETnwe_VPB!A1" display="Onderprothese op 2 implantaten op drukknoppen en nieuwe bovenprothese"/>
    <hyperlink ref="B5" location="Ovk_OK2_staafmetnwe_VPB!A1" display="Onderprothese op 2 implantaten op staaf en nieuwe bovenprothese"/>
    <hyperlink ref="B35" location="OVK_BK6_drukknop!A1" display="Bovenprothese op 6 implantaten op drukknoppen"/>
    <hyperlink ref="B36" location="OVK_BK6_bestaandedrukknop!A1" display="Bovenprothese op 6 implantaten op bestaande drukknoppen"/>
    <hyperlink ref="B18" location="'OVK%20OK4%20drukknop'!A1" display="Onderprothese op 4 implantaten op drukknoppen"/>
    <hyperlink ref="B19" location="'OVK%20OK4%20oude%20drukknop'!A1" display="Onderprothese op 4 implantaten op bestaande drukknoppen"/>
    <hyperlink ref="B20" location="'Ovk%20OK4%20drukknop+nwe%20VPB'!A1" display="Onderprothese op 4 implantaten op drukknoppen en nieuwe bovenprothese"/>
    <hyperlink ref="B21" location="'Ovk%20OK4%20oude%20drukknop+nwe%20VPB'!A1" display="Onderprothese op 4 implantaten op bestaande drukknoppen en nieuwe bovenprothese"/>
    <hyperlink ref="B27" location="OVK_BK4_bestaande_staafmemetaal!A1" display="Bovenprothese op 4 implantaten op bestaande staaf met metaalversteviging"/>
    <hyperlink ref="B31" location="OVK_BK6_nieuwe_staaf!A1" display="Bovenprothese op 6 implantaten op staaf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Y71"/>
  <sheetViews>
    <sheetView workbookViewId="0">
      <selection sqref="A1:B1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9" max="9" width="10.42578125" style="1" customWidth="1"/>
    <col min="10" max="12" width="14.7109375" style="1" customWidth="1"/>
    <col min="13" max="13" width="11.28515625" customWidth="1"/>
    <col min="16" max="21" width="9.140625" hidden="1" customWidth="1"/>
    <col min="22" max="22" width="9.140625" style="223" hidden="1" customWidth="1"/>
    <col min="23" max="25" width="9.140625" hidden="1" customWidth="1"/>
  </cols>
  <sheetData>
    <row r="1" spans="1:24" ht="43.35" customHeight="1">
      <c r="A1" s="298" t="s">
        <v>636</v>
      </c>
      <c r="B1" s="298"/>
      <c r="C1" s="14"/>
      <c r="D1" s="8"/>
      <c r="E1" s="10"/>
      <c r="F1" s="302"/>
      <c r="G1" s="302"/>
      <c r="H1" s="302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3" t="s">
        <v>67</v>
      </c>
      <c r="G2" s="303"/>
      <c r="H2" s="303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1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SUM(C6,C14)</f>
        <v>615.53</v>
      </c>
      <c r="D4" s="14">
        <f>SUM(D6,D14)</f>
        <v>1542.1</v>
      </c>
      <c r="E4" s="10"/>
      <c r="F4" s="14">
        <f>SUM(F6,F14)</f>
        <v>94.6721</v>
      </c>
      <c r="G4" s="14">
        <f>SUM(G6,G14)</f>
        <v>242.55699999999999</v>
      </c>
      <c r="H4" s="175">
        <f>SUM(F4,G4)</f>
        <v>337.22910000000002</v>
      </c>
      <c r="I4" s="180">
        <f>F4/(Kengetallen!C4)</f>
        <v>4.721800498753117</v>
      </c>
      <c r="J4" s="1">
        <v>84</v>
      </c>
      <c r="K4" s="15">
        <f>ROUNDUP(J4-I4,1)</f>
        <v>79.3</v>
      </c>
      <c r="L4" s="16">
        <f>D4-G4</f>
        <v>1299.5429999999999</v>
      </c>
      <c r="M4" t="b">
        <f>ISBLANK(F4)</f>
        <v>0</v>
      </c>
      <c r="W4" s="216">
        <f>SUM(W5:W68)</f>
        <v>94.6721</v>
      </c>
      <c r="X4" s="216">
        <f>SUM(X5:X68)</f>
        <v>242.55699999999999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J40</v>
      </c>
      <c r="S5" t="str">
        <f t="shared" si="0"/>
        <v>Twee magneten/drukknoppen</v>
      </c>
      <c r="T5" s="221">
        <f t="shared" si="0"/>
        <v>142.4</v>
      </c>
      <c r="U5" s="221">
        <f t="shared" si="0"/>
        <v>280</v>
      </c>
      <c r="V5" s="223">
        <f t="shared" si="0"/>
        <v>0.1</v>
      </c>
      <c r="W5" s="221">
        <f t="shared" si="0"/>
        <v>14.240000000000002</v>
      </c>
      <c r="X5" s="221">
        <f t="shared" si="0"/>
        <v>28</v>
      </c>
    </row>
    <row r="6" spans="1:24" s="20" customFormat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>
        <f>C6*E6</f>
        <v>14.240000000000002</v>
      </c>
      <c r="G6" s="179">
        <f>D6*E6</f>
        <v>28</v>
      </c>
      <c r="M6" s="20" t="b">
        <f t="shared" ref="M6:M68" si="1">ISBLANK(F6)</f>
        <v>0</v>
      </c>
      <c r="Q6" s="20">
        <f t="shared" ref="Q6:Q68" si="2">IF(F6&gt;0,ROW(),"")</f>
        <v>6</v>
      </c>
      <c r="R6" t="str">
        <f t="shared" si="0"/>
        <v>J50</v>
      </c>
      <c r="S6" t="str">
        <f t="shared" si="0"/>
        <v>Boven- en onder klikgebit, 2 implantaten onderkaak met drukknoppen en conventionele bovenprothese</v>
      </c>
      <c r="T6" s="221">
        <f t="shared" si="0"/>
        <v>473.13</v>
      </c>
      <c r="U6" s="221">
        <f t="shared" si="0"/>
        <v>1262.0999999999999</v>
      </c>
      <c r="V6" s="223">
        <f t="shared" si="0"/>
        <v>0.17</v>
      </c>
      <c r="W6" s="221">
        <f t="shared" si="0"/>
        <v>80.432100000000005</v>
      </c>
      <c r="X6" s="221">
        <f t="shared" si="0"/>
        <v>214.55699999999999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179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>
        <f>C14*E14</f>
        <v>80.432100000000005</v>
      </c>
      <c r="G14" s="179">
        <f>D14*E14</f>
        <v>214.55699999999999</v>
      </c>
      <c r="M14" s="20" t="b">
        <f t="shared" si="1"/>
        <v>0</v>
      </c>
      <c r="Q14" s="20">
        <f t="shared" si="2"/>
        <v>14</v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>
      <c r="I69" s="297" t="s">
        <v>644</v>
      </c>
    </row>
    <row r="70" spans="1:24">
      <c r="I70" s="297"/>
    </row>
    <row r="71" spans="1:24">
      <c r="I71" s="297"/>
    </row>
  </sheetData>
  <sheetProtection sheet="1" objects="1" scenarios="1"/>
  <autoFilter ref="M1:M71">
    <filterColumn colId="0">
      <filters>
        <filter val="ONWAAR"/>
      </filters>
    </filterColumn>
  </autoFilter>
  <mergeCells count="7">
    <mergeCell ref="K2:K3"/>
    <mergeCell ref="L2:L3"/>
    <mergeCell ref="I69:I71"/>
    <mergeCell ref="A1:B1"/>
    <mergeCell ref="F1:H1"/>
    <mergeCell ref="F2:H2"/>
    <mergeCell ref="J2:J3"/>
  </mergeCells>
  <phoneticPr fontId="26" type="noConversion"/>
  <hyperlinks>
    <hyperlink ref="I69:I71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C1" workbookViewId="0">
      <selection activeCell="P1" sqref="P1:Y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bestFit="1" customWidth="1"/>
    <col min="7" max="7" width="13" customWidth="1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5" width="0" hidden="1" customWidth="1"/>
  </cols>
  <sheetData>
    <row r="1" spans="1:24" ht="43.35" customHeight="1">
      <c r="A1" s="298" t="s">
        <v>531</v>
      </c>
      <c r="B1" s="298"/>
      <c r="C1" s="14"/>
      <c r="D1" s="8"/>
      <c r="E1" s="10"/>
      <c r="F1" s="302"/>
      <c r="G1" s="302"/>
      <c r="H1" s="302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3" t="s">
        <v>67</v>
      </c>
      <c r="G2" s="303"/>
      <c r="H2" s="303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28"/>
      <c r="C3" s="21"/>
      <c r="D3" s="11"/>
      <c r="E3" s="12"/>
      <c r="F3" s="7" t="s">
        <v>19</v>
      </c>
      <c r="G3" s="6" t="s">
        <v>20</v>
      </c>
      <c r="H3" s="181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SUM(C8,C9,C13)</f>
        <v>780.9</v>
      </c>
      <c r="D4" s="14">
        <f>SUM(D8,D9,D13)</f>
        <v>3246.72</v>
      </c>
      <c r="E4" s="10"/>
      <c r="F4" s="14">
        <f>SUM(F8,F9,F13)</f>
        <v>111.20910000000001</v>
      </c>
      <c r="G4" s="14">
        <f>SUM(G8,G9,G13)</f>
        <v>414.45119999999997</v>
      </c>
      <c r="H4" s="175">
        <f>SUM(F4,G4)</f>
        <v>525.66030000000001</v>
      </c>
      <c r="I4" s="5">
        <f>F4/(Kengetallen!C4)</f>
        <v>5.5465885286783045</v>
      </c>
      <c r="J4" s="1">
        <v>84</v>
      </c>
      <c r="K4" s="15">
        <f>ROUNDUP(J4-I4,1)</f>
        <v>78.5</v>
      </c>
      <c r="L4" s="16">
        <f>D4-G4</f>
        <v>2832.2687999999998</v>
      </c>
      <c r="M4" t="b">
        <f>ISBLANK(F4)</f>
        <v>0</v>
      </c>
      <c r="W4" s="216">
        <f>SUM(W5:W68)</f>
        <v>111.20910000000001</v>
      </c>
      <c r="X4" s="216">
        <f>SUM(X5:X68)</f>
        <v>414.45119999999997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J42</v>
      </c>
      <c r="S5" t="str">
        <f t="shared" si="0"/>
        <v>Staaf tussen twee implantaten</v>
      </c>
      <c r="T5" s="221">
        <f t="shared" si="0"/>
        <v>188.33</v>
      </c>
      <c r="U5" s="221">
        <f t="shared" si="0"/>
        <v>1024.58</v>
      </c>
      <c r="V5" s="223">
        <f t="shared" si="0"/>
        <v>0.1</v>
      </c>
      <c r="W5" s="221">
        <f t="shared" si="0"/>
        <v>18.833000000000002</v>
      </c>
      <c r="X5" s="221">
        <f t="shared" si="0"/>
        <v>102.458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6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J43</v>
      </c>
      <c r="S6" t="str">
        <f t="shared" si="0"/>
        <v>Elke volgende staaf tussen implantaten in dezelfde kaak</v>
      </c>
      <c r="T6" s="221">
        <f t="shared" si="0"/>
        <v>119.44</v>
      </c>
      <c r="U6" s="221">
        <f t="shared" si="0"/>
        <v>939.58</v>
      </c>
      <c r="V6" s="223">
        <f t="shared" si="0"/>
        <v>0.1</v>
      </c>
      <c r="W6" s="221">
        <f t="shared" si="0"/>
        <v>11.944000000000001</v>
      </c>
      <c r="X6" s="221">
        <f t="shared" si="0"/>
        <v>93.958000000000013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6"/>
      <c r="M7" s="20" t="b">
        <f t="shared" si="1"/>
        <v>1</v>
      </c>
      <c r="Q7" s="20" t="str">
        <f t="shared" si="2"/>
        <v/>
      </c>
      <c r="R7" t="str">
        <f t="shared" si="0"/>
        <v>J50</v>
      </c>
      <c r="S7" t="str">
        <f t="shared" si="0"/>
        <v>Boven- en onder klikgebit, 4 implantaten onderkaak met staaf en conventionele bovenprothese</v>
      </c>
      <c r="T7" s="221">
        <f t="shared" si="0"/>
        <v>473.13</v>
      </c>
      <c r="U7" s="221">
        <f t="shared" si="0"/>
        <v>1282.56</v>
      </c>
      <c r="V7" s="223">
        <f t="shared" si="0"/>
        <v>0.17</v>
      </c>
      <c r="W7" s="221">
        <f t="shared" si="0"/>
        <v>80.432100000000005</v>
      </c>
      <c r="X7" s="221">
        <f t="shared" si="0"/>
        <v>218.0352</v>
      </c>
    </row>
    <row r="8" spans="1:24" s="20" customFormat="1">
      <c r="A8" s="20" t="str">
        <f>Kengetallen!A7</f>
        <v>J42</v>
      </c>
      <c r="B8" s="190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>
        <f>C8*E8</f>
        <v>18.833000000000002</v>
      </c>
      <c r="G8" s="179">
        <f>D8*E8</f>
        <v>102.458</v>
      </c>
      <c r="M8" s="20" t="b">
        <f t="shared" si="1"/>
        <v>0</v>
      </c>
      <c r="Q8" s="20">
        <f t="shared" si="2"/>
        <v>8</v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Kengetallen!C8*2</f>
        <v>119.44</v>
      </c>
      <c r="D9" s="174">
        <f>Kengetallen!D8*2</f>
        <v>939.58</v>
      </c>
      <c r="E9" s="23">
        <f>Kengetallen!F8</f>
        <v>0.1</v>
      </c>
      <c r="F9" s="179">
        <f>C9*E9</f>
        <v>11.944000000000001</v>
      </c>
      <c r="G9" s="179">
        <f>D9*E9</f>
        <v>93.958000000000013</v>
      </c>
      <c r="M9" s="20" t="b">
        <f t="shared" si="1"/>
        <v>0</v>
      </c>
      <c r="Q9" s="20">
        <f t="shared" si="2"/>
        <v>9</v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6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6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179"/>
      <c r="I12" s="297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>
        <f>C13*E13</f>
        <v>80.432100000000005</v>
      </c>
      <c r="G13" s="179">
        <f>D13*E13</f>
        <v>218.0352</v>
      </c>
      <c r="I13" s="297"/>
      <c r="M13" s="20" t="b">
        <f t="shared" si="1"/>
        <v>0</v>
      </c>
      <c r="Q13" s="20">
        <f t="shared" si="2"/>
        <v>13</v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6"/>
      <c r="I14" s="297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6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6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6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6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6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6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6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6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6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6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6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6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6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6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6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6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6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6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6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6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6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6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6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6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6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6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6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6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6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6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6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6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6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6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6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6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6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6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6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6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6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6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6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6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6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6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6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6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6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6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6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6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6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6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7">
    <mergeCell ref="I12:I14"/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zoomScale="96" zoomScaleNormal="96" zoomScalePageLayoutView="96" workbookViewId="0">
      <selection sqref="A1:B1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bestFit="1" customWidth="1"/>
    <col min="7" max="7" width="13" customWidth="1"/>
    <col min="8" max="8" width="10.42578125" customWidth="1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637</v>
      </c>
      <c r="B1" s="298"/>
      <c r="C1" s="14"/>
      <c r="D1" s="8"/>
      <c r="E1" s="10"/>
      <c r="F1" s="302"/>
      <c r="G1" s="302"/>
      <c r="H1" s="302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3" t="s">
        <v>67</v>
      </c>
      <c r="G2" s="303"/>
      <c r="H2" s="303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7" t="s">
        <v>19</v>
      </c>
      <c r="G3" s="6" t="s">
        <v>20</v>
      </c>
      <c r="H3" s="181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SUM(C6,C7,C15)</f>
        <v>647.67000000000007</v>
      </c>
      <c r="D4" s="14">
        <f>SUM(D6,D7,D15)</f>
        <v>1881.88</v>
      </c>
      <c r="E4" s="10"/>
      <c r="F4" s="14">
        <f>SUM(F6,F7,F15)</f>
        <v>101.10010000000001</v>
      </c>
      <c r="G4" s="14">
        <f>SUM(G6,G7,G15)</f>
        <v>304.51960000000003</v>
      </c>
      <c r="H4" s="175">
        <f>SUM(F4,G4)</f>
        <v>405.61970000000002</v>
      </c>
      <c r="I4" s="5">
        <f>F4/(Kengetallen!C4)</f>
        <v>5.0423990024937657</v>
      </c>
      <c r="J4" s="1">
        <v>84</v>
      </c>
      <c r="K4" s="15">
        <f>ROUNDUP(J4-I4,1)</f>
        <v>79</v>
      </c>
      <c r="L4" s="16">
        <f>D4-G4</f>
        <v>1577.3604</v>
      </c>
      <c r="M4" t="b">
        <f>ISBLANK(F4)</f>
        <v>0</v>
      </c>
      <c r="W4" s="216">
        <f>SUM(W5:W68)</f>
        <v>101.10010000000001</v>
      </c>
      <c r="X4" s="216">
        <f>SUM(X5:X68)</f>
        <v>304.51960000000003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J40</v>
      </c>
      <c r="S5" t="str">
        <f t="shared" si="0"/>
        <v>Twee magneten/drukknoppen</v>
      </c>
      <c r="T5" s="221">
        <f t="shared" si="0"/>
        <v>142.4</v>
      </c>
      <c r="U5" s="221">
        <f t="shared" si="0"/>
        <v>280</v>
      </c>
      <c r="V5" s="223">
        <f t="shared" si="0"/>
        <v>0.1</v>
      </c>
      <c r="W5" s="221">
        <f t="shared" si="0"/>
        <v>14.240000000000002</v>
      </c>
      <c r="X5" s="221">
        <f t="shared" si="0"/>
        <v>28</v>
      </c>
    </row>
    <row r="6" spans="1:24" s="20" customFormat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>
        <f>C6*E6</f>
        <v>14.240000000000002</v>
      </c>
      <c r="G6" s="179">
        <f>D6*E6</f>
        <v>28</v>
      </c>
      <c r="M6" s="20" t="b">
        <f t="shared" ref="M6:M68" si="1">ISBLANK(F6)</f>
        <v>0</v>
      </c>
      <c r="Q6" s="20">
        <f t="shared" ref="Q6:Q68" si="2">IF(F6&gt;0,ROW(),"")</f>
        <v>6</v>
      </c>
      <c r="R6" t="str">
        <f t="shared" si="0"/>
        <v>J41</v>
      </c>
      <c r="S6" t="str">
        <f t="shared" si="0"/>
        <v>Elke volgende magneet, drukknop</v>
      </c>
      <c r="T6" s="221">
        <f t="shared" si="0"/>
        <v>32.14</v>
      </c>
      <c r="U6" s="221">
        <f t="shared" si="0"/>
        <v>140</v>
      </c>
      <c r="V6" s="223">
        <f t="shared" si="0"/>
        <v>0.1</v>
      </c>
      <c r="W6" s="221">
        <f t="shared" si="0"/>
        <v>6.4280000000000008</v>
      </c>
      <c r="X6" s="221">
        <f t="shared" si="0"/>
        <v>28</v>
      </c>
    </row>
    <row r="7" spans="1:24" s="20" customFormat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>
        <f>C7*E7*2</f>
        <v>6.4280000000000008</v>
      </c>
      <c r="G7" s="179">
        <f>D7*E7*2</f>
        <v>28</v>
      </c>
      <c r="M7" s="20" t="b">
        <f t="shared" si="1"/>
        <v>0</v>
      </c>
      <c r="Q7" s="20">
        <f t="shared" si="2"/>
        <v>7</v>
      </c>
      <c r="R7" t="str">
        <f t="shared" si="0"/>
        <v>J50</v>
      </c>
      <c r="S7" t="str">
        <f t="shared" si="0"/>
        <v>Boven- en onder klikgebit, 4 implantaten onderkaak met drukknoppen en conventionele bovenprothese</v>
      </c>
      <c r="T7" s="221">
        <f t="shared" si="0"/>
        <v>473.13</v>
      </c>
      <c r="U7" s="221">
        <f t="shared" si="0"/>
        <v>1461.88</v>
      </c>
      <c r="V7" s="223">
        <f t="shared" si="0"/>
        <v>0.17</v>
      </c>
      <c r="W7" s="221">
        <f t="shared" si="0"/>
        <v>80.432100000000005</v>
      </c>
      <c r="X7" s="221">
        <f t="shared" si="0"/>
        <v>248.51960000000003</v>
      </c>
    </row>
    <row r="8" spans="1:24" s="20" customFormat="1" hidden="1">
      <c r="A8" s="20" t="str">
        <f>Kengetallen!A7</f>
        <v>J42</v>
      </c>
      <c r="B8" s="190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179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6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6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179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6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6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>
        <f>C15*E15</f>
        <v>80.432100000000005</v>
      </c>
      <c r="G15" s="179">
        <f>D15*E15</f>
        <v>248.51960000000003</v>
      </c>
      <c r="I15" s="297"/>
      <c r="M15" s="20" t="b">
        <f t="shared" si="1"/>
        <v>0</v>
      </c>
      <c r="Q15" s="20">
        <f t="shared" si="2"/>
        <v>15</v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6"/>
      <c r="I16" s="297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6"/>
      <c r="I17" s="297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6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6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6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6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6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6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6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6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6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6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6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6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6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6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6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6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6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6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6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6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6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6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6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6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6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6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6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6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6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6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6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6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6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6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6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6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6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6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6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6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6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6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6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6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6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6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6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6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6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6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6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7">
    <mergeCell ref="K2:K3"/>
    <mergeCell ref="L2:L3"/>
    <mergeCell ref="I15:I17"/>
    <mergeCell ref="A1:B1"/>
    <mergeCell ref="F1:H1"/>
    <mergeCell ref="F2:H2"/>
    <mergeCell ref="J2:J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AI2" zoomScale="98" zoomScaleNormal="98" zoomScalePageLayoutView="98" workbookViewId="0">
      <selection sqref="A1:B1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1.42578125" bestFit="1" customWidth="1"/>
    <col min="7" max="7" width="13" customWidth="1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6" width="0" hidden="1" customWidth="1"/>
  </cols>
  <sheetData>
    <row r="1" spans="1:24" ht="43.35" customHeight="1">
      <c r="A1" s="298" t="s">
        <v>606</v>
      </c>
      <c r="B1" s="298"/>
      <c r="C1" s="14"/>
      <c r="D1" s="8"/>
      <c r="E1" s="10"/>
      <c r="F1" s="302"/>
      <c r="G1" s="302"/>
      <c r="H1" s="302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3" t="s">
        <v>67</v>
      </c>
      <c r="G2" s="303"/>
      <c r="H2" s="303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28"/>
      <c r="C3" s="21"/>
      <c r="D3" s="11"/>
      <c r="E3" s="12"/>
      <c r="F3" s="7" t="s">
        <v>19</v>
      </c>
      <c r="G3" s="6" t="s">
        <v>20</v>
      </c>
      <c r="H3" s="181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SUM(C12,C37)</f>
        <v>551.22</v>
      </c>
      <c r="D4" s="14">
        <f>SUM(D12,D37)</f>
        <v>1093.78</v>
      </c>
      <c r="E4" s="10"/>
      <c r="F4" s="14">
        <f>SUM(F12,F37)</f>
        <v>88.241100000000003</v>
      </c>
      <c r="G4" s="14">
        <f>SUM(G12,G37)</f>
        <v>185.9426</v>
      </c>
      <c r="H4" s="175">
        <f>SUM(F4,G4)</f>
        <v>274.18369999999999</v>
      </c>
      <c r="I4" s="5">
        <f>F4/(Kengetallen!C4)</f>
        <v>4.4010523690773065</v>
      </c>
      <c r="J4" s="1">
        <v>84</v>
      </c>
      <c r="K4" s="15">
        <f>ROUNDUP(J4-I4,1)</f>
        <v>79.599999999999994</v>
      </c>
      <c r="L4" s="16">
        <f>D4-G4</f>
        <v>907.8374</v>
      </c>
      <c r="M4" t="b">
        <f>ISBLANK(F4)</f>
        <v>0</v>
      </c>
      <c r="W4" s="216">
        <f>SUM(W5:W68)</f>
        <v>88.241100000000003</v>
      </c>
      <c r="X4" s="216">
        <f>SUM(X5:X68)</f>
        <v>185.9426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J50</v>
      </c>
      <c r="S5" t="str">
        <f t="shared" si="0"/>
        <v>Boven- en onder klikgebit, 2 implantaten onderkaak met staaf en conventionele bovenprothese</v>
      </c>
      <c r="T5" s="221">
        <f t="shared" si="0"/>
        <v>473.13</v>
      </c>
      <c r="U5" s="221">
        <f t="shared" si="0"/>
        <v>1093.78</v>
      </c>
      <c r="V5" s="223">
        <f t="shared" si="0"/>
        <v>0.17</v>
      </c>
      <c r="W5" s="221">
        <f t="shared" si="0"/>
        <v>80.432100000000005</v>
      </c>
      <c r="X5" s="221">
        <f t="shared" si="0"/>
        <v>185.9426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6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J57</v>
      </c>
      <c r="S6" t="str">
        <f t="shared" si="0"/>
        <v>Toeslag vervangings- klikgebit op bestaande stegconstructie tussen 2 implantaten</v>
      </c>
      <c r="T6" s="221">
        <f t="shared" si="0"/>
        <v>78.09</v>
      </c>
      <c r="U6" s="221">
        <f t="shared" si="0"/>
        <v>0</v>
      </c>
      <c r="V6" s="223">
        <f t="shared" si="0"/>
        <v>0.1</v>
      </c>
      <c r="W6" s="221">
        <f t="shared" si="0"/>
        <v>7.8090000000000011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6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27"/>
      <c r="E8" s="23">
        <f>Kengetallen!F7</f>
        <v>0.1</v>
      </c>
      <c r="F8" s="179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6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6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6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>
        <f>C12*E12</f>
        <v>80.432100000000005</v>
      </c>
      <c r="G12" s="179">
        <f>D12*E12</f>
        <v>185.9426</v>
      </c>
      <c r="I12" s="297"/>
      <c r="M12" s="20" t="b">
        <f t="shared" si="1"/>
        <v>0</v>
      </c>
      <c r="Q12" s="20">
        <f t="shared" si="2"/>
        <v>12</v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6"/>
      <c r="I13" s="297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6"/>
      <c r="I14" s="297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6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6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179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6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6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6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6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6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6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6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6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6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6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6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6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6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6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6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6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6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6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6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>
        <f>C37*E37</f>
        <v>7.8090000000000011</v>
      </c>
      <c r="G37" s="179">
        <f>D37*E37</f>
        <v>0</v>
      </c>
      <c r="M37" s="20" t="b">
        <f t="shared" si="1"/>
        <v>0</v>
      </c>
      <c r="Q37" s="20">
        <f t="shared" si="2"/>
        <v>37</v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6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6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6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6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6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6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6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6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6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6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6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6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6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6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6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6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6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6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6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6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6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6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6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6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6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6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6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6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6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6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6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7">
    <mergeCell ref="I12:I14"/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C1" workbookViewId="0">
      <selection activeCell="P1" sqref="P1:Y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5" width="0" hidden="1" customWidth="1"/>
  </cols>
  <sheetData>
    <row r="1" spans="1:24" ht="43.35" customHeight="1">
      <c r="A1" s="298" t="s">
        <v>639</v>
      </c>
      <c r="B1" s="298"/>
      <c r="C1" s="14"/>
      <c r="D1" s="8"/>
      <c r="E1" s="10"/>
      <c r="F1" s="302"/>
      <c r="G1" s="302"/>
      <c r="H1" s="302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3" t="s">
        <v>67</v>
      </c>
      <c r="G2" s="303"/>
      <c r="H2" s="303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1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SUM(C14)</f>
        <v>473.13</v>
      </c>
      <c r="D4" s="14">
        <f>SUM(D14)</f>
        <v>1262.0999999999999</v>
      </c>
      <c r="E4" s="10"/>
      <c r="F4" s="14">
        <f>SUM(F14)</f>
        <v>80.432100000000005</v>
      </c>
      <c r="G4" s="14">
        <f>SUM(G14)</f>
        <v>214.55699999999999</v>
      </c>
      <c r="H4" s="175">
        <f>SUM(F4,G4)</f>
        <v>294.98910000000001</v>
      </c>
      <c r="I4" s="180">
        <f>F4/(Kengetallen!C4)</f>
        <v>4.0115760598503742</v>
      </c>
      <c r="J4" s="1">
        <v>84</v>
      </c>
      <c r="K4" s="15">
        <f>ROUNDUP(J4-I4,1)</f>
        <v>80</v>
      </c>
      <c r="L4" s="16">
        <f>D4-G4</f>
        <v>1047.5429999999999</v>
      </c>
      <c r="M4" t="b">
        <f>ISBLANK(F4)</f>
        <v>0</v>
      </c>
      <c r="W4" s="216">
        <f>SUM(W5:W68)</f>
        <v>80.432100000000005</v>
      </c>
      <c r="X4" s="216">
        <f>SUM(X5:X68)</f>
        <v>214.55699999999999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J50</v>
      </c>
      <c r="S5" t="str">
        <f t="shared" si="0"/>
        <v>Boven- en onder klikgebit, 2 implantaten onderkaak met drukknoppen en conventionele bovenprothese</v>
      </c>
      <c r="T5" s="221">
        <f t="shared" si="0"/>
        <v>473.13</v>
      </c>
      <c r="U5" s="221">
        <f t="shared" si="0"/>
        <v>1262.0999999999999</v>
      </c>
      <c r="V5" s="223">
        <f t="shared" si="0"/>
        <v>0.17</v>
      </c>
      <c r="W5" s="221">
        <f t="shared" si="0"/>
        <v>80.432100000000005</v>
      </c>
      <c r="X5" s="221">
        <f t="shared" si="0"/>
        <v>214.55699999999999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27"/>
      <c r="E6" s="23">
        <f>Kengetallen!F5</f>
        <v>0.1</v>
      </c>
      <c r="F6" s="179"/>
      <c r="G6" s="179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/>
      </c>
      <c r="S6" t="str">
        <f t="shared" si="0"/>
        <v/>
      </c>
      <c r="T6" s="221" t="str">
        <f t="shared" si="0"/>
        <v/>
      </c>
      <c r="U6" s="221" t="str">
        <f t="shared" si="0"/>
        <v/>
      </c>
      <c r="V6" s="223" t="str">
        <f t="shared" si="0"/>
        <v/>
      </c>
      <c r="W6" s="221" t="str">
        <f t="shared" si="0"/>
        <v/>
      </c>
      <c r="X6" s="221" t="str">
        <f t="shared" si="0"/>
        <v/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179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>
        <f>C14*E14</f>
        <v>80.432100000000005</v>
      </c>
      <c r="G14" s="179">
        <f>D14*E14</f>
        <v>214.55699999999999</v>
      </c>
      <c r="I14" s="297"/>
      <c r="M14" s="20" t="b">
        <f t="shared" si="1"/>
        <v>0</v>
      </c>
      <c r="Q14" s="20">
        <f t="shared" si="2"/>
        <v>14</v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I15" s="297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I16" s="297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7">
    <mergeCell ref="K2:K3"/>
    <mergeCell ref="L2:L3"/>
    <mergeCell ref="I14:I16"/>
    <mergeCell ref="A1:B1"/>
    <mergeCell ref="F1:H1"/>
    <mergeCell ref="F2:H2"/>
    <mergeCell ref="J2:J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bestFit="1" customWidth="1"/>
    <col min="7" max="7" width="13" customWidth="1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551</v>
      </c>
      <c r="B1" s="298"/>
      <c r="C1" s="14"/>
      <c r="D1" s="8"/>
      <c r="E1" s="10"/>
      <c r="F1" s="302"/>
      <c r="G1" s="302"/>
      <c r="H1" s="302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3" t="s">
        <v>67</v>
      </c>
      <c r="G2" s="303"/>
      <c r="H2" s="303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28"/>
      <c r="C3" s="21"/>
      <c r="D3" s="11"/>
      <c r="E3" s="12"/>
      <c r="F3" s="7" t="s">
        <v>19</v>
      </c>
      <c r="G3" s="6" t="s">
        <v>20</v>
      </c>
      <c r="H3" s="181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SUM(C13,C38)</f>
        <v>574.19000000000005</v>
      </c>
      <c r="D4" s="14">
        <f>SUM(D13,D38)</f>
        <v>1282.56</v>
      </c>
      <c r="E4" s="14"/>
      <c r="F4" s="14">
        <f>SUM(F13,F38)</f>
        <v>90.538100000000014</v>
      </c>
      <c r="G4" s="14">
        <f>SUM(G13,G38)</f>
        <v>218.0352</v>
      </c>
      <c r="H4" s="175">
        <f>SUM(F4,G4)</f>
        <v>308.57330000000002</v>
      </c>
      <c r="I4" s="5">
        <f>F4/(Kengetallen!C4)</f>
        <v>4.5156159600997512</v>
      </c>
      <c r="J4" s="1">
        <v>84</v>
      </c>
      <c r="K4" s="15">
        <f>ROUNDUP(J4-I4,1)</f>
        <v>79.5</v>
      </c>
      <c r="L4" s="16">
        <f>D4-G4</f>
        <v>1064.5247999999999</v>
      </c>
      <c r="M4" t="b">
        <f>ISBLANK(F4)</f>
        <v>0</v>
      </c>
      <c r="W4" s="216">
        <f>SUM(W5:W68)</f>
        <v>90.538100000000014</v>
      </c>
      <c r="X4" s="216">
        <f>SUM(X5:X68)</f>
        <v>218.0352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J50</v>
      </c>
      <c r="S5" t="str">
        <f t="shared" si="0"/>
        <v>Boven- en onder klikgebit, 4 implantaten onderkaak met staaf en conventionele bovenprothese</v>
      </c>
      <c r="T5" s="221">
        <f t="shared" si="0"/>
        <v>473.13</v>
      </c>
      <c r="U5" s="221">
        <f t="shared" si="0"/>
        <v>1282.56</v>
      </c>
      <c r="V5" s="223">
        <f t="shared" si="0"/>
        <v>0.17</v>
      </c>
      <c r="W5" s="221">
        <f t="shared" si="0"/>
        <v>80.432100000000005</v>
      </c>
      <c r="X5" s="221">
        <f t="shared" si="0"/>
        <v>218.0352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6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J58</v>
      </c>
      <c r="S6" t="str">
        <f t="shared" si="0"/>
        <v>Toeslag vervangings- klikgebit op bestaande stegcontructie tussen 3 of 4 implantaten</v>
      </c>
      <c r="T6" s="221">
        <f t="shared" si="0"/>
        <v>101.06</v>
      </c>
      <c r="U6" s="221">
        <f t="shared" si="0"/>
        <v>0</v>
      </c>
      <c r="V6" s="223">
        <f t="shared" si="0"/>
        <v>0.1</v>
      </c>
      <c r="W6" s="221">
        <f t="shared" si="0"/>
        <v>10.106000000000002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6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27"/>
      <c r="E8" s="23">
        <f>Kengetallen!F7</f>
        <v>0.1</v>
      </c>
      <c r="F8" s="179"/>
      <c r="G8" s="24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27"/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6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6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6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29.1" customHeight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>
        <f>C13*E13</f>
        <v>80.432100000000005</v>
      </c>
      <c r="G13" s="179">
        <f>D13*E13</f>
        <v>218.0352</v>
      </c>
      <c r="H13" s="24"/>
      <c r="I13" s="191"/>
      <c r="M13" s="20" t="b">
        <f t="shared" si="1"/>
        <v>0</v>
      </c>
      <c r="Q13" s="20">
        <f t="shared" si="2"/>
        <v>13</v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29.1" hidden="1" customHeight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6"/>
      <c r="I14" s="191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29.1" hidden="1" customHeight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6"/>
      <c r="I15" s="191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t="14.45" hidden="1" customHeight="1">
      <c r="B16" s="2"/>
      <c r="C16" s="24"/>
      <c r="D16" s="174">
        <f>Kengetallen!D15</f>
        <v>0</v>
      </c>
      <c r="E16" s="23"/>
      <c r="F16" s="176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14.45" hidden="1" customHeight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6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14.45" hidden="1" customHeight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6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29.1" hidden="1" customHeight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6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29.1" hidden="1" customHeight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6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14.45" hidden="1" customHeight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6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14.45" hidden="1" customHeight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6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t="14.45" hidden="1" customHeight="1">
      <c r="B23" s="2"/>
      <c r="C23" s="24"/>
      <c r="D23" s="174"/>
      <c r="E23" s="23"/>
      <c r="F23" s="176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14.45" hidden="1" customHeight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6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29.1" hidden="1" customHeight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6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14.45" hidden="1" customHeight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6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29.1" hidden="1" customHeight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6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29.1" hidden="1" customHeight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6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29.1" hidden="1" customHeight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6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14.45" hidden="1" customHeight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6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14.45" hidden="1" customHeight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6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t="14.45" hidden="1" customHeight="1">
      <c r="B32" s="2"/>
      <c r="C32" s="24"/>
      <c r="D32" s="174">
        <f>Kengetallen!D31</f>
        <v>0</v>
      </c>
      <c r="E32" s="23">
        <f>Kengetallen!F31</f>
        <v>0</v>
      </c>
      <c r="F32" s="176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t="14.45" hidden="1" customHeight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6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14.45" hidden="1" customHeight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6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29.1" hidden="1" customHeight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6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29.1" hidden="1" customHeight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6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29.1" hidden="1" customHeight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6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29.1" customHeight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>
        <f>C38*E38</f>
        <v>10.106000000000002</v>
      </c>
      <c r="G38" s="179">
        <f>D38*E38</f>
        <v>0</v>
      </c>
      <c r="M38" s="20" t="b">
        <f t="shared" si="1"/>
        <v>0</v>
      </c>
      <c r="Q38" s="20">
        <f t="shared" si="2"/>
        <v>38</v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29.1" hidden="1" customHeight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6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t="14.45" hidden="1" customHeight="1">
      <c r="B40" s="2"/>
      <c r="C40" s="24"/>
      <c r="D40" s="174">
        <f>Kengetallen!D39</f>
        <v>0</v>
      </c>
      <c r="E40" s="23">
        <f>Kengetallen!F39</f>
        <v>0</v>
      </c>
      <c r="F40" s="176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t="14.45" hidden="1" customHeight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6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t="14.45" hidden="1" customHeight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6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14.45" hidden="1" customHeight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6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14.45" hidden="1" customHeight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6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29.1" hidden="1" customHeight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6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t="14.45" hidden="1" customHeight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6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14.45" hidden="1" customHeight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6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14.45" hidden="1" customHeight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6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29.1" hidden="1" customHeight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6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t="14.45" hidden="1" customHeight="1">
      <c r="B50" s="2"/>
      <c r="C50" s="24"/>
      <c r="D50" s="174">
        <f>Kengetallen!D50</f>
        <v>0</v>
      </c>
      <c r="E50" s="23">
        <f>Kengetallen!F50</f>
        <v>0</v>
      </c>
      <c r="F50" s="176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t="14.45" hidden="1" customHeight="1">
      <c r="B51" s="2"/>
      <c r="C51" s="24"/>
      <c r="D51" s="174">
        <f>Kengetallen!D51</f>
        <v>0</v>
      </c>
      <c r="E51" s="23">
        <f>Kengetallen!F51</f>
        <v>0</v>
      </c>
      <c r="F51" s="176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t="14.45" hidden="1" customHeight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6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t="14.45" hidden="1" customHeight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6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t="14.45" hidden="1" customHeight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6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t="14.45" hidden="1" customHeight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6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t="14.45" hidden="1" customHeight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6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t="14.45" hidden="1" customHeight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6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t="14.45" hidden="1" customHeight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6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t="14.45" hidden="1" customHeight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6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t="14.45" hidden="1" customHeight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6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29.1" hidden="1" customHeight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6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t="14.45" hidden="1" customHeight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6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t="14.45" hidden="1" customHeight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6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t="14.45" hidden="1" customHeight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6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29.1" hidden="1" customHeight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6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29.1" hidden="1" customHeight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6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t="14.45" hidden="1" customHeight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6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t="14.45" hidden="1" customHeight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6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C1" workbookViewId="0">
      <selection activeCell="P1" sqref="P1:Y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5" width="0" hidden="1" customWidth="1"/>
  </cols>
  <sheetData>
    <row r="1" spans="1:24" ht="43.35" customHeight="1">
      <c r="A1" s="304" t="s">
        <v>638</v>
      </c>
      <c r="B1" s="304"/>
      <c r="C1" s="14"/>
      <c r="D1" s="8"/>
      <c r="E1" s="10"/>
      <c r="F1" s="302"/>
      <c r="G1" s="302"/>
      <c r="H1" s="302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3" t="s">
        <v>67</v>
      </c>
      <c r="G2" s="303"/>
      <c r="H2" s="303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1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SUM(C6,C14)</f>
        <v>615.53</v>
      </c>
      <c r="D4" s="14">
        <f>SUM(D6,D7,D15)</f>
        <v>1461.88</v>
      </c>
      <c r="E4" s="10"/>
      <c r="F4" s="14">
        <f>SUM(F15)</f>
        <v>80.432100000000005</v>
      </c>
      <c r="G4" s="14">
        <f>SUM(G15)</f>
        <v>248.51960000000003</v>
      </c>
      <c r="H4" s="175">
        <f>SUM(F4,G4)</f>
        <v>328.95170000000002</v>
      </c>
      <c r="I4" s="180">
        <f>F4/(Kengetallen!C4)</f>
        <v>4.0115760598503742</v>
      </c>
      <c r="J4" s="1">
        <v>84</v>
      </c>
      <c r="K4" s="15">
        <f>ROUNDUP(J4-I4,1)</f>
        <v>80</v>
      </c>
      <c r="L4" s="16">
        <f>D4-G4</f>
        <v>1213.3604</v>
      </c>
      <c r="M4" t="b">
        <f>ISBLANK(F4)</f>
        <v>0</v>
      </c>
      <c r="W4" s="216">
        <f>SUM(W5:W68)</f>
        <v>80.432100000000005</v>
      </c>
      <c r="X4" s="216">
        <f>SUM(X5:X68)</f>
        <v>248.51960000000003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J50</v>
      </c>
      <c r="S5" t="str">
        <f t="shared" si="0"/>
        <v>Boven- en onder klikgebit, 4 implantaten onderkaak met drukknoppen en conventionele bovenprothese</v>
      </c>
      <c r="T5" s="221">
        <f t="shared" si="0"/>
        <v>473.13</v>
      </c>
      <c r="U5" s="221">
        <f t="shared" si="0"/>
        <v>1461.88</v>
      </c>
      <c r="V5" s="223">
        <f t="shared" si="0"/>
        <v>0.17</v>
      </c>
      <c r="W5" s="221">
        <f t="shared" si="0"/>
        <v>80.432100000000005</v>
      </c>
      <c r="X5" s="221">
        <f t="shared" si="0"/>
        <v>248.51960000000003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27"/>
      <c r="E6" s="23">
        <f>Kengetallen!F5</f>
        <v>0.1</v>
      </c>
      <c r="F6" s="179"/>
      <c r="G6" s="179"/>
      <c r="M6" s="20" t="b">
        <v>1</v>
      </c>
      <c r="Q6" s="20" t="str">
        <f t="shared" ref="Q6:Q68" si="1">IF(F6&gt;0,ROW(),"")</f>
        <v/>
      </c>
      <c r="R6" t="str">
        <f t="shared" si="0"/>
        <v/>
      </c>
      <c r="S6" t="str">
        <f t="shared" si="0"/>
        <v/>
      </c>
      <c r="T6" s="221" t="str">
        <f t="shared" si="0"/>
        <v/>
      </c>
      <c r="U6" s="221" t="str">
        <f t="shared" si="0"/>
        <v/>
      </c>
      <c r="V6" s="223" t="str">
        <f t="shared" si="0"/>
        <v/>
      </c>
      <c r="W6" s="221" t="str">
        <f t="shared" si="0"/>
        <v/>
      </c>
      <c r="X6" s="221" t="str">
        <f t="shared" si="0"/>
        <v/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27"/>
      <c r="E7" s="23">
        <f>Kengetallen!F6</f>
        <v>0.1</v>
      </c>
      <c r="F7" s="179"/>
      <c r="G7" s="179"/>
      <c r="M7" s="20" t="b">
        <v>1</v>
      </c>
      <c r="Q7" s="20" t="str">
        <f t="shared" si="1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M8" s="20" t="b">
        <f t="shared" ref="M8:M68" si="2">ISBLANK(F8)</f>
        <v>1</v>
      </c>
      <c r="Q8" s="20" t="str">
        <f t="shared" si="1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M9" s="20" t="b">
        <f t="shared" si="2"/>
        <v>1</v>
      </c>
      <c r="Q9" s="20" t="str">
        <f t="shared" si="1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M10" s="20" t="b">
        <f t="shared" si="2"/>
        <v>1</v>
      </c>
      <c r="Q10" s="20" t="str">
        <f t="shared" si="1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M11" s="20" t="b">
        <f t="shared" si="2"/>
        <v>1</v>
      </c>
      <c r="Q11" s="20" t="str">
        <f t="shared" si="1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179"/>
      <c r="M12" s="20" t="b">
        <f t="shared" si="2"/>
        <v>1</v>
      </c>
      <c r="Q12" s="20" t="str">
        <f t="shared" si="1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M13" s="20" t="b">
        <f t="shared" si="2"/>
        <v>1</v>
      </c>
      <c r="Q13" s="20" t="str">
        <f t="shared" si="1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179"/>
      <c r="M14" s="20" t="b">
        <f t="shared" si="2"/>
        <v>1</v>
      </c>
      <c r="Q14" s="20" t="str">
        <f t="shared" si="1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29.1" customHeight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>
        <f>C15*E15</f>
        <v>80.432100000000005</v>
      </c>
      <c r="G15" s="179">
        <f>D15*E15</f>
        <v>248.51960000000003</v>
      </c>
      <c r="I15" s="191"/>
      <c r="M15" s="20" t="b">
        <f t="shared" si="2"/>
        <v>0</v>
      </c>
      <c r="Q15" s="20">
        <f t="shared" si="1"/>
        <v>15</v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t="14.45" hidden="1" customHeight="1">
      <c r="B16" s="2"/>
      <c r="C16" s="24"/>
      <c r="D16" s="174">
        <f>Kengetallen!D15</f>
        <v>0</v>
      </c>
      <c r="E16" s="23"/>
      <c r="F16" s="179"/>
      <c r="G16" s="24"/>
      <c r="I16" s="191"/>
      <c r="M16" s="20" t="b">
        <f t="shared" si="2"/>
        <v>1</v>
      </c>
      <c r="Q16" s="20" t="str">
        <f t="shared" si="1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14.45" hidden="1" customHeight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I17" s="191"/>
      <c r="M17" s="20" t="b">
        <f t="shared" si="2"/>
        <v>1</v>
      </c>
      <c r="Q17" s="20" t="str">
        <f t="shared" si="1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M18" s="20" t="b">
        <f t="shared" si="2"/>
        <v>1</v>
      </c>
      <c r="Q18" s="20" t="str">
        <f t="shared" si="1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M19" s="20" t="b">
        <f t="shared" si="2"/>
        <v>1</v>
      </c>
      <c r="Q19" s="20" t="str">
        <f t="shared" si="1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M20" s="20" t="b">
        <f t="shared" si="2"/>
        <v>1</v>
      </c>
      <c r="Q20" s="20" t="str">
        <f t="shared" si="1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M21" s="20" t="b">
        <f t="shared" si="2"/>
        <v>1</v>
      </c>
      <c r="Q21" s="20" t="str">
        <f t="shared" si="1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M22" s="20" t="b">
        <f t="shared" si="2"/>
        <v>1</v>
      </c>
      <c r="Q22" s="20" t="str">
        <f t="shared" si="1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M23" s="20" t="b">
        <f t="shared" si="2"/>
        <v>1</v>
      </c>
      <c r="Q23" s="20" t="str">
        <f t="shared" si="1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M24" s="20" t="b">
        <f t="shared" si="2"/>
        <v>1</v>
      </c>
      <c r="Q24" s="20" t="str">
        <f t="shared" si="1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M25" s="20" t="b">
        <f t="shared" si="2"/>
        <v>1</v>
      </c>
      <c r="Q25" s="20" t="str">
        <f t="shared" si="1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M26" s="20" t="b">
        <f t="shared" si="2"/>
        <v>1</v>
      </c>
      <c r="Q26" s="20" t="str">
        <f t="shared" si="1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M27" s="20" t="b">
        <f t="shared" si="2"/>
        <v>1</v>
      </c>
      <c r="Q27" s="20" t="str">
        <f t="shared" si="1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M28" s="20" t="b">
        <f t="shared" si="2"/>
        <v>1</v>
      </c>
      <c r="Q28" s="20" t="str">
        <f t="shared" si="1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M29" s="20" t="b">
        <f t="shared" si="2"/>
        <v>1</v>
      </c>
      <c r="Q29" s="20" t="str">
        <f t="shared" si="1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M30" s="20" t="b">
        <f t="shared" si="2"/>
        <v>1</v>
      </c>
      <c r="Q30" s="20" t="str">
        <f t="shared" si="1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M31" s="20" t="b">
        <f t="shared" si="2"/>
        <v>1</v>
      </c>
      <c r="Q31" s="20" t="str">
        <f t="shared" si="1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M32" s="20" t="b">
        <f t="shared" si="2"/>
        <v>1</v>
      </c>
      <c r="Q32" s="20" t="str">
        <f t="shared" si="1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M33" s="20" t="b">
        <f t="shared" si="2"/>
        <v>1</v>
      </c>
      <c r="Q33" s="20" t="str">
        <f t="shared" si="1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M34" s="20" t="b">
        <f t="shared" si="2"/>
        <v>1</v>
      </c>
      <c r="Q34" s="20" t="str">
        <f t="shared" si="1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M35" s="20" t="b">
        <f t="shared" si="2"/>
        <v>1</v>
      </c>
      <c r="Q35" s="20" t="str">
        <f t="shared" si="1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M36" s="20" t="b">
        <f t="shared" si="2"/>
        <v>1</v>
      </c>
      <c r="Q36" s="20" t="str">
        <f t="shared" si="1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M37" s="20" t="b">
        <f t="shared" si="2"/>
        <v>1</v>
      </c>
      <c r="Q37" s="20" t="str">
        <f t="shared" si="1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M38" s="20" t="b">
        <f t="shared" si="2"/>
        <v>1</v>
      </c>
      <c r="Q38" s="20" t="str">
        <f t="shared" si="1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M39" s="20" t="b">
        <f t="shared" si="2"/>
        <v>1</v>
      </c>
      <c r="Q39" s="20" t="str">
        <f t="shared" si="1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M40" s="20" t="b">
        <f t="shared" si="2"/>
        <v>1</v>
      </c>
      <c r="Q40" s="20" t="str">
        <f t="shared" si="1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M41" s="20" t="b">
        <f t="shared" si="2"/>
        <v>1</v>
      </c>
      <c r="Q41" s="20" t="str">
        <f t="shared" si="1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M42" s="20" t="b">
        <f t="shared" si="2"/>
        <v>1</v>
      </c>
      <c r="Q42" s="20" t="str">
        <f t="shared" si="1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M43" s="20" t="b">
        <f t="shared" si="2"/>
        <v>1</v>
      </c>
      <c r="Q43" s="20" t="str">
        <f t="shared" si="1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M44" s="20" t="b">
        <f t="shared" si="2"/>
        <v>1</v>
      </c>
      <c r="Q44" s="20" t="str">
        <f t="shared" si="1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M45" s="20" t="b">
        <f t="shared" si="2"/>
        <v>1</v>
      </c>
      <c r="Q45" s="20" t="str">
        <f t="shared" si="1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M46" s="20" t="b">
        <f t="shared" si="2"/>
        <v>1</v>
      </c>
      <c r="Q46" s="20" t="str">
        <f t="shared" si="1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M47" s="20" t="b">
        <f t="shared" si="2"/>
        <v>1</v>
      </c>
      <c r="Q47" s="20" t="str">
        <f t="shared" si="1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M48" s="20" t="b">
        <f t="shared" si="2"/>
        <v>1</v>
      </c>
      <c r="Q48" s="20" t="str">
        <f t="shared" si="1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M49" s="20" t="b">
        <f t="shared" si="2"/>
        <v>1</v>
      </c>
      <c r="Q49" s="20" t="str">
        <f t="shared" si="1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M50" s="20" t="b">
        <f t="shared" si="2"/>
        <v>1</v>
      </c>
      <c r="Q50" s="20" t="str">
        <f t="shared" si="1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M51" s="20" t="b">
        <f t="shared" si="2"/>
        <v>1</v>
      </c>
      <c r="Q51" s="20" t="str">
        <f t="shared" si="1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M52" s="20" t="b">
        <f t="shared" si="2"/>
        <v>1</v>
      </c>
      <c r="Q52" s="20" t="str">
        <f t="shared" si="1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M53" s="20" t="b">
        <f t="shared" si="2"/>
        <v>1</v>
      </c>
      <c r="Q53" s="20" t="str">
        <f t="shared" si="1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M54" s="20" t="b">
        <f t="shared" si="2"/>
        <v>1</v>
      </c>
      <c r="Q54" s="20" t="str">
        <f t="shared" si="1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M55" s="20" t="b">
        <f t="shared" si="2"/>
        <v>1</v>
      </c>
      <c r="Q55" s="20" t="str">
        <f t="shared" si="1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M56" s="20" t="b">
        <f t="shared" si="2"/>
        <v>1</v>
      </c>
      <c r="Q56" s="20" t="str">
        <f t="shared" si="1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M57" s="20" t="b">
        <f t="shared" si="2"/>
        <v>1</v>
      </c>
      <c r="Q57" s="20" t="str">
        <f t="shared" si="1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M58" s="20" t="b">
        <f t="shared" si="2"/>
        <v>1</v>
      </c>
      <c r="Q58" s="20" t="str">
        <f t="shared" si="1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M59" s="20" t="b">
        <f t="shared" si="2"/>
        <v>1</v>
      </c>
      <c r="Q59" s="20" t="str">
        <f t="shared" si="1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M60" s="20" t="b">
        <f t="shared" si="2"/>
        <v>1</v>
      </c>
      <c r="Q60" s="20" t="str">
        <f t="shared" si="1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M61" s="20" t="b">
        <f t="shared" si="2"/>
        <v>1</v>
      </c>
      <c r="Q61" s="20" t="str">
        <f t="shared" si="1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M62" s="20" t="b">
        <f t="shared" si="2"/>
        <v>1</v>
      </c>
      <c r="Q62" s="20" t="str">
        <f t="shared" si="1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M63" s="20" t="b">
        <f t="shared" si="2"/>
        <v>1</v>
      </c>
      <c r="Q63" s="20" t="str">
        <f t="shared" si="1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M64" s="20" t="b">
        <f t="shared" si="2"/>
        <v>1</v>
      </c>
      <c r="Q64" s="20" t="str">
        <f t="shared" si="1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M65" s="20" t="b">
        <f t="shared" si="2"/>
        <v>1</v>
      </c>
      <c r="Q65" s="20" t="str">
        <f t="shared" si="1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M66" s="20" t="b">
        <f t="shared" si="2"/>
        <v>1</v>
      </c>
      <c r="Q66" s="20" t="str">
        <f t="shared" si="1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M67" s="20" t="b">
        <f t="shared" si="2"/>
        <v>1</v>
      </c>
      <c r="Q67" s="20" t="str">
        <f t="shared" si="1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M68" s="20" t="b">
        <f t="shared" si="2"/>
        <v>1</v>
      </c>
      <c r="Q68" s="20" t="str">
        <f t="shared" si="1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70"/>
  <sheetViews>
    <sheetView topLeftCell="C1" workbookViewId="0">
      <selection activeCell="P1" sqref="P1:Y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5" width="0" hidden="1" customWidth="1"/>
  </cols>
  <sheetData>
    <row r="1" spans="1:24" ht="43.35" customHeight="1">
      <c r="A1" s="298" t="s">
        <v>552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28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SUM(C8,C17)</f>
        <v>496.09000000000003</v>
      </c>
      <c r="D4" s="14">
        <f>SUM(D8,D17)</f>
        <v>1753.36</v>
      </c>
      <c r="E4" s="10"/>
      <c r="F4" s="14">
        <f>SUM(F8,F17)</f>
        <v>49.609000000000002</v>
      </c>
      <c r="G4" s="14">
        <f>SUM(G8,G17)</f>
        <v>175.33600000000001</v>
      </c>
      <c r="H4" s="175">
        <f>SUM(F4,G4)</f>
        <v>224.94500000000002</v>
      </c>
      <c r="I4" s="5">
        <f>F4/(Kengetallen!C4)</f>
        <v>2.4742643391521195</v>
      </c>
      <c r="J4" s="1">
        <v>72</v>
      </c>
      <c r="K4" s="15">
        <f>ROUNDUP(J4-I4,1)</f>
        <v>69.599999999999994</v>
      </c>
      <c r="L4" s="16">
        <f>D4-G4</f>
        <v>1578.0239999999999</v>
      </c>
      <c r="M4" t="b">
        <f>ISBLANK(F4)</f>
        <v>0</v>
      </c>
      <c r="W4" s="216">
        <f>SUM(W5:W68)</f>
        <v>49.609000000000002</v>
      </c>
      <c r="X4" s="216">
        <f>SUM(X5:X68)</f>
        <v>175.33600000000001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J42</v>
      </c>
      <c r="S5" t="str">
        <f t="shared" si="0"/>
        <v>Staaf tussen twee implantaten</v>
      </c>
      <c r="T5" s="221">
        <f t="shared" si="0"/>
        <v>188.33</v>
      </c>
      <c r="U5" s="221">
        <f t="shared" si="0"/>
        <v>1024.58</v>
      </c>
      <c r="V5" s="223">
        <f t="shared" si="0"/>
        <v>0.1</v>
      </c>
      <c r="W5" s="221">
        <f t="shared" si="0"/>
        <v>18.833000000000002</v>
      </c>
      <c r="X5" s="221">
        <f t="shared" si="0"/>
        <v>102.458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J51</v>
      </c>
      <c r="S6" t="str">
        <f t="shared" si="0"/>
        <v>Onder-klikgebit, 2 implantaten onderkaak met staaf</v>
      </c>
      <c r="T6" s="221">
        <f t="shared" si="0"/>
        <v>307.76</v>
      </c>
      <c r="U6" s="221">
        <f t="shared" si="0"/>
        <v>728.78</v>
      </c>
      <c r="V6" s="223">
        <f t="shared" si="0"/>
        <v>0.1</v>
      </c>
      <c r="W6" s="221">
        <f t="shared" si="0"/>
        <v>30.776</v>
      </c>
      <c r="X6" s="221">
        <f t="shared" si="0"/>
        <v>72.878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>
        <f>C8*E8</f>
        <v>18.833000000000002</v>
      </c>
      <c r="G8" s="179">
        <f>D8*E8</f>
        <v>102.458</v>
      </c>
      <c r="H8" s="24"/>
      <c r="M8" s="20" t="b">
        <f t="shared" si="1"/>
        <v>0</v>
      </c>
      <c r="Q8" s="20">
        <f t="shared" si="2"/>
        <v>8</v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t="15" hidden="1" customHeight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14.45" customHeight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>
        <f>C17*E17</f>
        <v>30.776</v>
      </c>
      <c r="G17" s="179">
        <f>D17*E17</f>
        <v>72.878</v>
      </c>
      <c r="H17" s="24"/>
      <c r="I17" s="191"/>
      <c r="M17" s="20" t="b">
        <f t="shared" si="1"/>
        <v>0</v>
      </c>
      <c r="Q17" s="20">
        <f t="shared" si="2"/>
        <v>17</v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14.45" hidden="1" customHeight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I18" s="191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29.1" hidden="1" customHeight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I19" s="191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29.1" hidden="1" customHeight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I20" s="191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14.45" hidden="1" customHeight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I21" s="191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14.45" hidden="1" customHeight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I22" s="191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t="14.45" hidden="1" customHeight="1">
      <c r="B23" s="2"/>
      <c r="C23" s="24"/>
      <c r="D23" s="174"/>
      <c r="E23" s="23"/>
      <c r="F23" s="179"/>
      <c r="G23" s="24"/>
      <c r="H23" s="24"/>
      <c r="I23" s="191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14.45" hidden="1" customHeight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I24" s="191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29.1" hidden="1" customHeight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I25" s="191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14.45" hidden="1" customHeight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I26" s="191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29.1" hidden="1" customHeight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I27" s="191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29.1" hidden="1" customHeight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I28" s="191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29.1" hidden="1" customHeight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I29" s="191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14.45" hidden="1" customHeight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I30" s="191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14.45" hidden="1" customHeight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I31" s="191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t="14.45" hidden="1" customHeight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I32" s="191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t="14.45" hidden="1" customHeight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I33" s="191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14.45" hidden="1" customHeight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I34" s="191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29.1" hidden="1" customHeight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I35" s="191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29.1" hidden="1" customHeight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I36" s="191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29.1" hidden="1" customHeight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I37" s="191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29.1" hidden="1" customHeight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I38" s="191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29.1" hidden="1" customHeight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I39" s="191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t="14.45" hidden="1" customHeight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I40" s="191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t="14.45" hidden="1" customHeight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I41" s="191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t="14.45" hidden="1" customHeight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I42" s="191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14.45" hidden="1" customHeight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I43" s="191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14.45" hidden="1" customHeight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I44" s="191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29.1" hidden="1" customHeight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I45" s="191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t="14.45" hidden="1" customHeight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I46" s="191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14.45" hidden="1" customHeight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I47" s="191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14.45" hidden="1" customHeight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I48" s="191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29.1" hidden="1" customHeight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I49" s="191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t="14.45" hidden="1" customHeight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I50" s="191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t="14.45" hidden="1" customHeight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I51" s="191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t="14.45" hidden="1" customHeight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I52" s="191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t="14.45" hidden="1" customHeight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I53" s="191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t="14.45" hidden="1" customHeight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I54" s="191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t="14.45" hidden="1" customHeight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I55" s="191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t="14.45" hidden="1" customHeight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I56" s="191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t="14.45" hidden="1" customHeight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I57" s="191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t="14.45" hidden="1" customHeight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I58" s="191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t="14.45" hidden="1" customHeight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I59" s="191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t="14.45" hidden="1" customHeight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I60" s="191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29.1" hidden="1" customHeight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I61" s="191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t="14.45" hidden="1" customHeight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I62" s="191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t="14.45" hidden="1" customHeight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I63" s="191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t="14.45" hidden="1" customHeight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I64" s="191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29.1" hidden="1" customHeight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I65" s="191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29.1" hidden="1" customHeight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I66" s="191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t="14.45" hidden="1" customHeight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I67" s="191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t="14.45" hidden="1" customHeight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I68" s="191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>
      <c r="I69" s="191"/>
    </row>
    <row r="70" spans="1:24" ht="45">
      <c r="I70" s="191" t="s">
        <v>644</v>
      </c>
    </row>
  </sheetData>
  <sheetProtection sheet="1" objects="1" scenarios="1"/>
  <autoFilter ref="M1:M70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16:I19" location="Inhoudsopgave!A1" display="Inhoudsopgave!A1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C1" workbookViewId="0">
      <selection activeCell="P1" sqref="P1:Z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6" width="0" hidden="1" customWidth="1"/>
  </cols>
  <sheetData>
    <row r="1" spans="1:24" ht="43.35" customHeight="1">
      <c r="A1" s="298" t="s">
        <v>640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SUM(C6,C19)</f>
        <v>450.15999999999997</v>
      </c>
      <c r="D4" s="14">
        <f>SUM(D6,D19)</f>
        <v>1098.44</v>
      </c>
      <c r="E4" s="10"/>
      <c r="F4" s="14">
        <f>SUM(F6,F19)</f>
        <v>45.016000000000005</v>
      </c>
      <c r="G4" s="14">
        <f>SUM(G6,G19)</f>
        <v>109.84400000000001</v>
      </c>
      <c r="H4" s="175">
        <f>SUM(F4,G4)</f>
        <v>154.86000000000001</v>
      </c>
      <c r="I4" s="5">
        <f>F4/(Kengetallen!C4)</f>
        <v>2.2451870324189529</v>
      </c>
      <c r="J4" s="1">
        <v>72</v>
      </c>
      <c r="K4" s="15">
        <f>ROUNDUP(J4-I4,1)</f>
        <v>69.8</v>
      </c>
      <c r="L4" s="16">
        <f>D4-G4</f>
        <v>988.596</v>
      </c>
      <c r="M4" t="b">
        <f>ISBLANK(F4)</f>
        <v>0</v>
      </c>
      <c r="W4" s="216">
        <f>SUM(W5:W68)</f>
        <v>45.016000000000005</v>
      </c>
      <c r="X4" s="216">
        <f>SUM(X5:X68)</f>
        <v>109.84400000000001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J40</v>
      </c>
      <c r="S5" t="str">
        <f t="shared" si="0"/>
        <v>Twee magneten/drukknoppen</v>
      </c>
      <c r="T5" s="221">
        <f t="shared" si="0"/>
        <v>142.4</v>
      </c>
      <c r="U5" s="221">
        <f t="shared" si="0"/>
        <v>280</v>
      </c>
      <c r="V5" s="223">
        <f t="shared" si="0"/>
        <v>0.1</v>
      </c>
      <c r="W5" s="221">
        <f t="shared" si="0"/>
        <v>14.240000000000002</v>
      </c>
      <c r="X5" s="221">
        <f t="shared" si="0"/>
        <v>28</v>
      </c>
    </row>
    <row r="6" spans="1:24" s="20" customFormat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>
        <f>C6*E6</f>
        <v>14.240000000000002</v>
      </c>
      <c r="G6" s="179">
        <f>D6*E6</f>
        <v>28</v>
      </c>
      <c r="H6" s="24"/>
      <c r="M6" s="20" t="b">
        <f t="shared" ref="M6:M68" si="1">ISBLANK(F6)</f>
        <v>0</v>
      </c>
      <c r="Q6" s="20">
        <f t="shared" ref="Q6:Q68" si="2">IF(F6&gt;0,ROW(),"")</f>
        <v>6</v>
      </c>
      <c r="R6" t="str">
        <f t="shared" si="0"/>
        <v>J51</v>
      </c>
      <c r="S6" t="str">
        <f t="shared" si="0"/>
        <v>Onder-klikgebit, 2 implantaten onderkaak met drukknoppen</v>
      </c>
      <c r="T6" s="221">
        <f t="shared" si="0"/>
        <v>307.76</v>
      </c>
      <c r="U6" s="221">
        <f t="shared" si="0"/>
        <v>818.44</v>
      </c>
      <c r="V6" s="223">
        <f t="shared" si="0"/>
        <v>0.1</v>
      </c>
      <c r="W6" s="221">
        <f t="shared" si="0"/>
        <v>30.776</v>
      </c>
      <c r="X6" s="221">
        <f t="shared" si="0"/>
        <v>81.844000000000008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179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>
        <f>C19*E19</f>
        <v>30.776</v>
      </c>
      <c r="G19" s="179">
        <f>D19*E19</f>
        <v>81.844000000000008</v>
      </c>
      <c r="H19" s="24"/>
      <c r="M19" s="20" t="b">
        <f t="shared" si="1"/>
        <v>0</v>
      </c>
      <c r="Q19" s="20">
        <f t="shared" si="2"/>
        <v>19</v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C1" workbookViewId="0">
      <selection activeCell="P1" sqref="P1:Z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6" width="0" hidden="1" customWidth="1"/>
  </cols>
  <sheetData>
    <row r="1" spans="1:24" ht="43.35" customHeight="1">
      <c r="A1" s="298" t="s">
        <v>553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28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SUM(C8,C9,C18)</f>
        <v>615.53</v>
      </c>
      <c r="D4" s="14">
        <f>SUM(D8,D9,D18)</f>
        <v>2881.72</v>
      </c>
      <c r="E4" s="10"/>
      <c r="F4" s="14">
        <f>SUM(F8,F9,F18)</f>
        <v>61.552999999999997</v>
      </c>
      <c r="G4" s="14">
        <f>SUM(G8,G9,G18)</f>
        <v>288.17200000000003</v>
      </c>
      <c r="H4" s="175">
        <f>SUM(F4,G4)</f>
        <v>349.72500000000002</v>
      </c>
      <c r="I4" s="5">
        <f>F4/(Kengetallen!C4)</f>
        <v>3.0699750623441395</v>
      </c>
      <c r="J4" s="1">
        <v>72</v>
      </c>
      <c r="K4" s="15">
        <f>ROUNDUP(J4-I4,1)</f>
        <v>69</v>
      </c>
      <c r="L4" s="16">
        <f>D4-G4</f>
        <v>2593.5479999999998</v>
      </c>
      <c r="M4" t="b">
        <f>ISBLANK(F4)</f>
        <v>0</v>
      </c>
      <c r="W4" s="216">
        <f>SUM(W5:W68)</f>
        <v>61.552999999999997</v>
      </c>
      <c r="X4" s="216">
        <f>SUM(X5:X68)</f>
        <v>288.17200000000003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J42</v>
      </c>
      <c r="S5" t="str">
        <f t="shared" si="0"/>
        <v>Staaf tussen twee implantaten</v>
      </c>
      <c r="T5" s="221">
        <f t="shared" si="0"/>
        <v>188.33</v>
      </c>
      <c r="U5" s="221">
        <f t="shared" si="0"/>
        <v>1024.58</v>
      </c>
      <c r="V5" s="223">
        <f t="shared" si="0"/>
        <v>0.1</v>
      </c>
      <c r="W5" s="221">
        <f t="shared" si="0"/>
        <v>18.833000000000002</v>
      </c>
      <c r="X5" s="221">
        <f t="shared" si="0"/>
        <v>102.458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J43</v>
      </c>
      <c r="S6" t="str">
        <f t="shared" si="0"/>
        <v>Elke volgende staaf tussen implantaten in dezelfde kaak</v>
      </c>
      <c r="T6" s="221">
        <f t="shared" si="0"/>
        <v>119.44</v>
      </c>
      <c r="U6" s="221">
        <f t="shared" si="0"/>
        <v>939.58</v>
      </c>
      <c r="V6" s="223">
        <f t="shared" si="0"/>
        <v>0.1</v>
      </c>
      <c r="W6" s="221">
        <f t="shared" si="0"/>
        <v>11.944000000000001</v>
      </c>
      <c r="X6" s="221">
        <f t="shared" si="0"/>
        <v>93.958000000000013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>J51</v>
      </c>
      <c r="S7" t="str">
        <f t="shared" si="0"/>
        <v>Onder-klikgebit, 4 implantaten onderkaak met staaf</v>
      </c>
      <c r="T7" s="221">
        <f t="shared" si="0"/>
        <v>307.76</v>
      </c>
      <c r="U7" s="221">
        <f t="shared" si="0"/>
        <v>917.56</v>
      </c>
      <c r="V7" s="223">
        <f t="shared" si="0"/>
        <v>0.1</v>
      </c>
      <c r="W7" s="221">
        <f t="shared" si="0"/>
        <v>30.776</v>
      </c>
      <c r="X7" s="221">
        <f t="shared" si="0"/>
        <v>91.756</v>
      </c>
    </row>
    <row r="8" spans="1:24" s="20" customFormat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>
        <f>C8*E8</f>
        <v>18.833000000000002</v>
      </c>
      <c r="G8" s="179">
        <f>D8*E8</f>
        <v>102.458</v>
      </c>
      <c r="H8" s="24"/>
      <c r="M8" s="20" t="b">
        <f t="shared" si="1"/>
        <v>0</v>
      </c>
      <c r="Q8" s="20">
        <f t="shared" si="2"/>
        <v>8</v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Kengetallen!C8*2</f>
        <v>119.44</v>
      </c>
      <c r="D9" s="174">
        <f>Kengetallen!D8*2</f>
        <v>939.58</v>
      </c>
      <c r="E9" s="23">
        <f>Kengetallen!F8</f>
        <v>0.1</v>
      </c>
      <c r="F9" s="179">
        <f>C9*E9</f>
        <v>11.944000000000001</v>
      </c>
      <c r="G9" s="179">
        <f>D9*E9</f>
        <v>93.958000000000013</v>
      </c>
      <c r="H9" s="24"/>
      <c r="M9" s="20" t="b">
        <f t="shared" si="1"/>
        <v>0</v>
      </c>
      <c r="Q9" s="20">
        <f t="shared" si="2"/>
        <v>9</v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>
        <f>C18*E18</f>
        <v>30.776</v>
      </c>
      <c r="G18" s="179">
        <f>D18*E18</f>
        <v>91.756</v>
      </c>
      <c r="H18" s="24"/>
      <c r="M18" s="20" t="b">
        <f t="shared" si="1"/>
        <v>0</v>
      </c>
      <c r="Q18" s="20">
        <f t="shared" si="2"/>
        <v>18</v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opLeftCell="A12" zoomScale="85" zoomScaleNormal="85" zoomScalePageLayoutView="85" workbookViewId="0">
      <selection activeCell="G55" sqref="G55"/>
    </sheetView>
  </sheetViews>
  <sheetFormatPr defaultColWidth="8.85546875" defaultRowHeight="15"/>
  <cols>
    <col min="1" max="2" width="9.42578125" customWidth="1"/>
    <col min="3" max="3" width="38.140625" customWidth="1"/>
    <col min="4" max="4" width="29" customWidth="1"/>
    <col min="5" max="5" width="5.42578125" customWidth="1"/>
    <col min="6" max="6" width="12.42578125" customWidth="1"/>
    <col min="7" max="7" width="10.42578125" customWidth="1"/>
    <col min="8" max="8" width="10.140625" customWidth="1"/>
    <col min="9" max="9" width="6.42578125" customWidth="1"/>
    <col min="10" max="10" width="10.7109375" customWidth="1"/>
    <col min="11" max="11" width="9.140625" customWidth="1"/>
    <col min="12" max="12" width="53.42578125" customWidth="1"/>
    <col min="13" max="13" width="10.42578125" customWidth="1"/>
    <col min="14" max="14" width="12.7109375" customWidth="1"/>
    <col min="15" max="15" width="13.85546875" customWidth="1"/>
    <col min="16" max="16" width="10" customWidth="1"/>
    <col min="17" max="17" width="19.85546875" customWidth="1"/>
    <col min="18" max="18" width="13" customWidth="1"/>
    <col min="20" max="20" width="53.7109375" customWidth="1"/>
    <col min="21" max="21" width="10.42578125" customWidth="1"/>
    <col min="22" max="22" width="12.7109375" customWidth="1"/>
    <col min="23" max="23" width="14" customWidth="1"/>
    <col min="24" max="24" width="10" customWidth="1"/>
    <col min="25" max="25" width="19.85546875" customWidth="1"/>
    <col min="26" max="26" width="12.7109375" customWidth="1"/>
  </cols>
  <sheetData>
    <row r="1" spans="1:26" ht="15" customHeight="1">
      <c r="A1" s="293" t="s">
        <v>692</v>
      </c>
      <c r="B1" s="293"/>
      <c r="C1" s="293"/>
      <c r="D1" s="293"/>
      <c r="E1" s="293"/>
      <c r="F1" s="293"/>
      <c r="G1" s="293"/>
      <c r="H1" s="293"/>
      <c r="I1" s="293"/>
      <c r="J1" s="293"/>
      <c r="K1" s="276" t="str">
        <f>IF(A12&gt;0,A12,"")</f>
        <v/>
      </c>
      <c r="L1" s="276"/>
      <c r="M1" s="276"/>
      <c r="N1" s="276"/>
      <c r="O1" s="276"/>
      <c r="P1" s="276"/>
      <c r="Q1" s="276"/>
      <c r="R1" s="276"/>
      <c r="S1" s="276" t="str">
        <f>IF(A14&gt;0,A14,"")</f>
        <v/>
      </c>
      <c r="T1" s="276"/>
      <c r="U1" s="276"/>
      <c r="V1" s="276"/>
      <c r="W1" s="276"/>
      <c r="X1" s="276"/>
      <c r="Y1" s="276"/>
      <c r="Z1" s="276"/>
    </row>
    <row r="2" spans="1:26" ht="1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19" t="str">
        <f>IF(Inhoudsopgave!$U$5&gt;Inhoudsopgave!$V$4,VPOmetVPB!$A$2,"")</f>
        <v/>
      </c>
      <c r="L2" s="220" t="str">
        <f>IF(Inhoudsopgave!$U$5&gt;Inhoudsopgave!$V$4,VPOmetVPB!$B$2,"")</f>
        <v/>
      </c>
      <c r="M2" s="282" t="str">
        <f>IF(Inhoudsopgave!$U$5&gt;Inhoudsopgave!$V$4,VPOmetVPB!$C$2,"")</f>
        <v/>
      </c>
      <c r="N2" s="282" t="str">
        <f>IF(Inhoudsopgave!$U$5&gt;Inhoudsopgave!$V$4,VPOmetVPB!$D$2,"")</f>
        <v/>
      </c>
      <c r="O2" s="282" t="str">
        <f>IF(Inhoudsopgave!$U$5&gt;Inhoudsopgave!$V$4,VPOmetVPB!$E$2,"")</f>
        <v/>
      </c>
      <c r="P2" s="279" t="str">
        <f>IF(Inhoudsopgave!$U$5&gt;Inhoudsopgave!$V$4,VPOmetVPB!$F$2,"")</f>
        <v/>
      </c>
      <c r="Q2" s="279"/>
      <c r="R2" s="279"/>
      <c r="S2" s="219" t="str">
        <f>IF(Inhoudsopgave!$U$5&gt;Inhoudsopgave!$V$6,VPOmetVPB!$A$2,"")</f>
        <v/>
      </c>
      <c r="T2" s="220" t="str">
        <f>IF(Inhoudsopgave!$U$5&gt;Inhoudsopgave!$V$6,VPOmetVPB!$B$2,"")</f>
        <v/>
      </c>
      <c r="U2" s="282" t="str">
        <f>IF(Inhoudsopgave!$U$5&gt;Inhoudsopgave!$V$6,VPOmetVPB!$C$2,"")</f>
        <v/>
      </c>
      <c r="V2" s="282" t="str">
        <f>IF(Inhoudsopgave!$U$5&gt;Inhoudsopgave!$V$6,VPOmetVPB!$D$2,"")</f>
        <v/>
      </c>
      <c r="W2" s="282" t="str">
        <f>IF(Inhoudsopgave!$U$5&gt;Inhoudsopgave!$V$6,VPOmetVPB!$E$2,"")</f>
        <v/>
      </c>
      <c r="X2" s="279" t="str">
        <f>IF(Inhoudsopgave!$U$5&gt;Inhoudsopgave!$V$6,VPOmetVPB!$F$2,"")</f>
        <v/>
      </c>
      <c r="Y2" s="279"/>
      <c r="Z2" s="279"/>
    </row>
    <row r="3" spans="1:26" ht="1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M3" s="282"/>
      <c r="N3" s="282"/>
      <c r="O3" s="282"/>
      <c r="P3" s="280" t="str">
        <f>IF(Inhoudsopgave!$U$5&gt;Inhoudsopgave!$V$4,VPOmetVPB!$F$3,"")</f>
        <v/>
      </c>
      <c r="Q3" s="280" t="str">
        <f>IF(Inhoudsopgave!$U$5&gt;Inhoudsopgave!$V$4,VPOmetVPB!$G$3,"")</f>
        <v/>
      </c>
      <c r="R3" s="280" t="str">
        <f>IF(Inhoudsopgave!$U$5&gt;Inhoudsopgave!$V$4,VPOmetVPB!$H$3,"")</f>
        <v/>
      </c>
      <c r="U3" s="282"/>
      <c r="V3" s="282"/>
      <c r="W3" s="282"/>
      <c r="X3" s="280" t="str">
        <f>IF(Inhoudsopgave!$U$5&gt;Inhoudsopgave!$V$6,VPOmetVPB!$F$3,"")</f>
        <v/>
      </c>
      <c r="Y3" s="280" t="str">
        <f>IF(Inhoudsopgave!$U$5&gt;Inhoudsopgave!$V$6,VPOmetVPB!$G$3,"")</f>
        <v/>
      </c>
      <c r="Z3" s="280" t="str">
        <f>IF(Inhoudsopgave!$U$5&gt;Inhoudsopgave!$V$6,VPOmetVPB!$H$3,"")</f>
        <v/>
      </c>
    </row>
    <row r="4" spans="1:26">
      <c r="K4" s="277" t="str">
        <f>IF(Inhoudsopgave!$U$5&gt;Inhoudsopgave!$V$4,VPOmetVPB!$A$4,"")</f>
        <v/>
      </c>
      <c r="M4" s="282"/>
      <c r="N4" s="282"/>
      <c r="O4" s="282"/>
      <c r="P4" s="280"/>
      <c r="Q4" s="280"/>
      <c r="R4" s="280"/>
      <c r="S4" s="277" t="str">
        <f>IF(Inhoudsopgave!$U$5&gt;Inhoudsopgave!$V$6,VPOmetVPB!$A$4,"")</f>
        <v/>
      </c>
      <c r="U4" s="282"/>
      <c r="V4" s="282"/>
      <c r="W4" s="282"/>
      <c r="X4" s="280"/>
      <c r="Y4" s="280"/>
      <c r="Z4" s="280"/>
    </row>
    <row r="5" spans="1:26">
      <c r="A5" s="283" t="s">
        <v>682</v>
      </c>
      <c r="B5" s="283"/>
      <c r="C5" s="210"/>
      <c r="F5" s="211" t="s">
        <v>683</v>
      </c>
      <c r="G5" s="291"/>
      <c r="H5" s="291"/>
      <c r="I5" s="291"/>
      <c r="J5" s="291"/>
      <c r="K5" s="277"/>
      <c r="L5" s="225" t="str">
        <f>IF(Inhoudsopgave!$U$5&gt;Inhoudsopgave!$V$4,VPOmetVPB!$B$4,"")</f>
        <v/>
      </c>
      <c r="M5" s="226" t="str">
        <f>IF(Inhoudsopgave!$U$5&gt;0,SUM(M6:M30),"")</f>
        <v/>
      </c>
      <c r="N5" s="226" t="str">
        <f>IF(Inhoudsopgave!$U$5&gt;0,SUM(N6:N30),"")</f>
        <v/>
      </c>
      <c r="O5" s="227"/>
      <c r="P5" s="226" t="str">
        <f>IF(Inhoudsopgave!$U$5&gt;0,SUM(P6:P30),"")</f>
        <v/>
      </c>
      <c r="Q5" s="226" t="str">
        <f>IF(Inhoudsopgave!$U$5&gt;0,SUM(Q6:Q30),"")</f>
        <v/>
      </c>
      <c r="R5" s="226" t="str">
        <f>IF(Inhoudsopgave!$U$5&gt;0,SUM(R6:R30),"")</f>
        <v/>
      </c>
      <c r="S5" s="277"/>
      <c r="T5" s="225" t="str">
        <f>IF(Inhoudsopgave!$U$5&gt;Inhoudsopgave!$V$6,VPOmetVPB!$B$4,"")</f>
        <v/>
      </c>
      <c r="U5" s="226" t="str">
        <f>IF(Inhoudsopgave!$U$5&gt;Inhoudsopgave!$V$6,SUM(U6:U32),"")</f>
        <v/>
      </c>
      <c r="V5" s="226" t="str">
        <f>IF(Inhoudsopgave!$U$5&gt;Inhoudsopgave!$V$6,SUM(V6:V32),"")</f>
        <v/>
      </c>
      <c r="W5" s="226"/>
      <c r="X5" s="226" t="str">
        <f>IF(Inhoudsopgave!$U$5&gt;Inhoudsopgave!$V$6,SUM(X6:X32),"")</f>
        <v/>
      </c>
      <c r="Y5" s="226" t="str">
        <f>IF(Inhoudsopgave!$U$5&gt;Inhoudsopgave!$V$6,SUM(Y6:Y32),"")</f>
        <v/>
      </c>
      <c r="Z5" s="226" t="str">
        <f>IF(Inhoudsopgave!$U$5&gt;Inhoudsopgave!$V$6,SUM(Z6:Z32),"")</f>
        <v/>
      </c>
    </row>
    <row r="6" spans="1:26">
      <c r="K6" s="273" t="str">
        <f ca="1">IFERROR(INDIRECT("'"&amp;Inhoudsopgave!$T$5&amp;"'!R5"),"")</f>
        <v/>
      </c>
      <c r="L6" s="274" t="str">
        <f ca="1">IFERROR(INDIRECT("'"&amp;Inhoudsopgave!$T$5&amp;"'!S5"),"")</f>
        <v/>
      </c>
      <c r="M6" s="271" t="str">
        <f ca="1">IFERROR(INDIRECT("'"&amp;Inhoudsopgave!$T$5&amp;"'!T5"),"")</f>
        <v/>
      </c>
      <c r="N6" s="271" t="str">
        <f ca="1">IFERROR(INDIRECT("'"&amp;Inhoudsopgave!$T$5&amp;"'!U5"),"")</f>
        <v/>
      </c>
      <c r="O6" s="275" t="str">
        <f ca="1">IFERROR(INDIRECT("'"&amp;Inhoudsopgave!$T$5&amp;"'!V5"),"")</f>
        <v/>
      </c>
      <c r="P6" s="271" t="str">
        <f ca="1">IFERROR(INDIRECT("'"&amp;Inhoudsopgave!$T$5&amp;"'!W5"),"")</f>
        <v/>
      </c>
      <c r="Q6" s="271" t="str">
        <f ca="1">IFERROR(INDIRECT("'"&amp;Inhoudsopgave!$T$5&amp;"'!X5"),"")</f>
        <v/>
      </c>
      <c r="R6" s="272" t="str">
        <f ca="1">IFERROR(P6+Q6,"")</f>
        <v/>
      </c>
      <c r="S6" s="273" t="str">
        <f ca="1">IFERROR(INDIRECT("'"&amp;Inhoudsopgave!$T$7&amp;"'!R5"),"")</f>
        <v/>
      </c>
      <c r="T6" s="274" t="str">
        <f ca="1">IFERROR(INDIRECT("'"&amp;Inhoudsopgave!$T$7&amp;"'!S5"),"")</f>
        <v/>
      </c>
      <c r="U6" s="271" t="str">
        <f ca="1">IFERROR(INDIRECT("'"&amp;Inhoudsopgave!$T$7&amp;"'!T5"),"")</f>
        <v/>
      </c>
      <c r="V6" s="271" t="str">
        <f ca="1">IFERROR(INDIRECT("'"&amp;Inhoudsopgave!$T$7&amp;"'!U5"),"")</f>
        <v/>
      </c>
      <c r="W6" s="275" t="str">
        <f ca="1">IFERROR(INDIRECT("'"&amp;Inhoudsopgave!$T$7&amp;"'!V5"),"")</f>
        <v/>
      </c>
      <c r="X6" s="271" t="str">
        <f ca="1">IFERROR(INDIRECT("'"&amp;Inhoudsopgave!$T$7&amp;"'!W5"),"")</f>
        <v/>
      </c>
      <c r="Y6" s="271" t="str">
        <f ca="1">IFERROR(INDIRECT("'"&amp;Inhoudsopgave!$T$7&amp;"'!X5"),"")</f>
        <v/>
      </c>
      <c r="Z6" s="272" t="str">
        <f ca="1">IFERROR(X6+Y6,"")</f>
        <v/>
      </c>
    </row>
    <row r="7" spans="1:26">
      <c r="A7" s="283" t="s">
        <v>684</v>
      </c>
      <c r="B7" s="283"/>
      <c r="C7" s="210"/>
      <c r="F7" t="s">
        <v>607</v>
      </c>
      <c r="H7" s="292" t="s">
        <v>681</v>
      </c>
      <c r="I7" s="292"/>
      <c r="J7" s="292"/>
      <c r="K7" s="273"/>
      <c r="L7" s="274"/>
      <c r="M7" s="271"/>
      <c r="N7" s="271"/>
      <c r="O7" s="275"/>
      <c r="P7" s="271"/>
      <c r="Q7" s="271"/>
      <c r="R7" s="272"/>
      <c r="S7" s="273"/>
      <c r="T7" s="274"/>
      <c r="U7" s="271"/>
      <c r="V7" s="271"/>
      <c r="W7" s="275"/>
      <c r="X7" s="271"/>
      <c r="Y7" s="271"/>
      <c r="Z7" s="272"/>
    </row>
    <row r="8" spans="1:26">
      <c r="K8" s="278" t="str">
        <f ca="1">IFERROR(INDIRECT("'"&amp;Inhoudsopgave!$T$5&amp;"'!R6"),"")</f>
        <v/>
      </c>
      <c r="L8" s="274" t="str">
        <f ca="1">IFERROR(INDIRECT("'"&amp;Inhoudsopgave!$T$5&amp;"'!S6"),"")</f>
        <v/>
      </c>
      <c r="M8" s="271" t="str">
        <f ca="1">IFERROR(INDIRECT("'"&amp;Inhoudsopgave!$T$5&amp;"'!T6"),"")</f>
        <v/>
      </c>
      <c r="N8" s="271" t="str">
        <f ca="1">IFERROR(INDIRECT("'"&amp;Inhoudsopgave!$T$5&amp;"'!U6"),"")</f>
        <v/>
      </c>
      <c r="O8" s="275" t="str">
        <f ca="1">IFERROR(INDIRECT("'"&amp;Inhoudsopgave!$T$5&amp;"'!V6"),"")</f>
        <v/>
      </c>
      <c r="P8" s="271" t="str">
        <f ca="1">IFERROR(INDIRECT("'"&amp;Inhoudsopgave!$T$5&amp;"'!W6"),"")</f>
        <v/>
      </c>
      <c r="Q8" s="271" t="str">
        <f ca="1">IFERROR(INDIRECT("'"&amp;Inhoudsopgave!$T$5&amp;"'!X6"),"")</f>
        <v/>
      </c>
      <c r="R8" s="272" t="str">
        <f ca="1">IFERROR(P8+Q8,"")</f>
        <v/>
      </c>
      <c r="S8" s="273" t="str">
        <f ca="1">IFERROR(INDIRECT("'"&amp;Inhoudsopgave!$T$7&amp;"'!R6"),"")</f>
        <v/>
      </c>
      <c r="T8" s="274" t="str">
        <f ca="1">IFERROR(INDIRECT("'"&amp;Inhoudsopgave!$T$7&amp;"'!S6"),"")</f>
        <v/>
      </c>
      <c r="U8" s="271" t="str">
        <f ca="1">IFERROR(INDIRECT("'"&amp;Inhoudsopgave!$T$7&amp;"'!T6"),"")</f>
        <v/>
      </c>
      <c r="V8" s="271" t="str">
        <f ca="1">IFERROR(INDIRECT("'"&amp;Inhoudsopgave!$T$7&amp;"'!U6"),"")</f>
        <v/>
      </c>
      <c r="W8" s="275" t="str">
        <f ca="1">IFERROR(INDIRECT("'"&amp;Inhoudsopgave!$T$7&amp;"'!V6"),"")</f>
        <v/>
      </c>
      <c r="X8" s="271" t="str">
        <f ca="1">IFERROR(INDIRECT("'"&amp;Inhoudsopgave!$T$7&amp;"'!W6"),"")</f>
        <v/>
      </c>
      <c r="Y8" s="271" t="str">
        <f ca="1">IFERROR(INDIRECT("'"&amp;Inhoudsopgave!$T$7&amp;"'!X6"),"")</f>
        <v/>
      </c>
      <c r="Z8" s="272" t="str">
        <f ca="1">IFERROR(X8+Y8,"")</f>
        <v/>
      </c>
    </row>
    <row r="9" spans="1:26">
      <c r="A9" s="283" t="s">
        <v>92</v>
      </c>
      <c r="B9" s="283"/>
      <c r="C9" s="212">
        <f ca="1">TODAY()</f>
        <v>42771</v>
      </c>
      <c r="K9" s="278"/>
      <c r="L9" s="274"/>
      <c r="M9" s="271"/>
      <c r="N9" s="271"/>
      <c r="O9" s="275"/>
      <c r="P9" s="271"/>
      <c r="Q9" s="271"/>
      <c r="R9" s="272"/>
      <c r="S9" s="273"/>
      <c r="T9" s="274"/>
      <c r="U9" s="271"/>
      <c r="V9" s="271"/>
      <c r="W9" s="275"/>
      <c r="X9" s="271"/>
      <c r="Y9" s="271"/>
      <c r="Z9" s="272"/>
    </row>
    <row r="10" spans="1:26">
      <c r="J10" s="294" t="s">
        <v>608</v>
      </c>
      <c r="K10" s="278" t="str">
        <f ca="1">IFERROR(INDIRECT("'"&amp;Inhoudsopgave!$T$5&amp;"'!R7"),"")</f>
        <v/>
      </c>
      <c r="L10" s="274" t="str">
        <f ca="1">IFERROR(INDIRECT("'"&amp;Inhoudsopgave!$T$5&amp;"'!S7"),"")</f>
        <v/>
      </c>
      <c r="M10" s="271" t="str">
        <f ca="1">IFERROR(INDIRECT("'"&amp;Inhoudsopgave!$T$5&amp;"'!T7"),"")</f>
        <v/>
      </c>
      <c r="N10" s="271" t="str">
        <f ca="1">IFERROR(INDIRECT("'"&amp;Inhoudsopgave!$T$5&amp;"'!U7"),"")</f>
        <v/>
      </c>
      <c r="O10" s="275" t="str">
        <f ca="1">IFERROR(INDIRECT("'"&amp;Inhoudsopgave!$T$5&amp;"'!V7"),"")</f>
        <v/>
      </c>
      <c r="P10" s="271" t="str">
        <f ca="1">IFERROR(INDIRECT("'"&amp;Inhoudsopgave!$T$5&amp;"'!W7"),"")</f>
        <v/>
      </c>
      <c r="Q10" s="271" t="str">
        <f ca="1">IFERROR(INDIRECT("'"&amp;Inhoudsopgave!$T$5&amp;"'!X7"),"")</f>
        <v/>
      </c>
      <c r="R10" s="272" t="str">
        <f ca="1">IFERROR(P10+Q10,"")</f>
        <v/>
      </c>
      <c r="S10" s="273" t="str">
        <f ca="1">IFERROR(INDIRECT("'"&amp;Inhoudsopgave!$T$7&amp;"'!R7"),"")</f>
        <v/>
      </c>
      <c r="T10" s="274" t="str">
        <f ca="1">IFERROR(INDIRECT("'"&amp;Inhoudsopgave!$T$7&amp;"'!S7"),"")</f>
        <v/>
      </c>
      <c r="U10" s="271" t="str">
        <f ca="1">IFERROR(INDIRECT("'"&amp;Inhoudsopgave!$T$7&amp;"'!T7"),"")</f>
        <v/>
      </c>
      <c r="V10" s="271" t="str">
        <f ca="1">IFERROR(INDIRECT("'"&amp;Inhoudsopgave!$T$7&amp;"'!U7"),"")</f>
        <v/>
      </c>
      <c r="W10" s="275" t="str">
        <f ca="1">IFERROR(INDIRECT("'"&amp;Inhoudsopgave!$T$7&amp;"'!V7"),"")</f>
        <v/>
      </c>
      <c r="X10" s="271" t="str">
        <f ca="1">IFERROR(INDIRECT("'"&amp;Inhoudsopgave!$T$7&amp;"'!W7"),"")</f>
        <v/>
      </c>
      <c r="Y10" s="271" t="str">
        <f ca="1">IFERROR(INDIRECT("'"&amp;Inhoudsopgave!$T$7&amp;"'!X7"),"")</f>
        <v/>
      </c>
      <c r="Z10" s="272" t="str">
        <f ca="1">IFERROR(X10+Y10,"")</f>
        <v/>
      </c>
    </row>
    <row r="11" spans="1:26" ht="15" customHeight="1" thickBot="1">
      <c r="A11" s="284" t="s">
        <v>133</v>
      </c>
      <c r="B11" s="284"/>
      <c r="C11" s="284"/>
      <c r="D11" s="284"/>
      <c r="E11" s="284"/>
      <c r="F11" s="284"/>
      <c r="G11" s="284"/>
      <c r="H11" s="284"/>
      <c r="I11" s="284"/>
      <c r="J11" s="295"/>
      <c r="K11" s="278"/>
      <c r="L11" s="274"/>
      <c r="M11" s="271"/>
      <c r="N11" s="271"/>
      <c r="O11" s="275"/>
      <c r="P11" s="271"/>
      <c r="Q11" s="271"/>
      <c r="R11" s="272"/>
      <c r="S11" s="273"/>
      <c r="T11" s="274"/>
      <c r="U11" s="271"/>
      <c r="V11" s="271"/>
      <c r="W11" s="275"/>
      <c r="X11" s="271"/>
      <c r="Y11" s="271"/>
      <c r="Z11" s="272"/>
    </row>
    <row r="12" spans="1:26">
      <c r="A12" s="285" t="str">
        <f>Inhoudsopgave!R5</f>
        <v/>
      </c>
      <c r="B12" s="286"/>
      <c r="C12" s="286"/>
      <c r="D12" s="286"/>
      <c r="E12" s="286"/>
      <c r="F12" s="286"/>
      <c r="G12" s="286"/>
      <c r="H12" s="286"/>
      <c r="I12" s="287"/>
      <c r="J12" s="229" t="str">
        <f>Inhoudsopgave!S5</f>
        <v/>
      </c>
      <c r="K12" s="278" t="str">
        <f ca="1">IFERROR(INDIRECT("'"&amp;Inhoudsopgave!$T$5&amp;"'!R8"),"")</f>
        <v/>
      </c>
      <c r="L12" s="274" t="str">
        <f ca="1">IFERROR(INDIRECT("'"&amp;Inhoudsopgave!$T$5&amp;"'!S8"),"")</f>
        <v/>
      </c>
      <c r="M12" s="271" t="str">
        <f ca="1">IFERROR(INDIRECT("'"&amp;Inhoudsopgave!$T$5&amp;"'!T8"),"")</f>
        <v/>
      </c>
      <c r="N12" s="271" t="str">
        <f ca="1">IFERROR(INDIRECT("'"&amp;Inhoudsopgave!$T$5&amp;"'!U8"),"")</f>
        <v/>
      </c>
      <c r="O12" s="275" t="str">
        <f ca="1">IFERROR(INDIRECT("'"&amp;Inhoudsopgave!$T$5&amp;"'!V8"),"")</f>
        <v/>
      </c>
      <c r="P12" s="271" t="str">
        <f ca="1">IFERROR(INDIRECT("'"&amp;Inhoudsopgave!$T$5&amp;"'!W8"),"")</f>
        <v/>
      </c>
      <c r="Q12" s="271" t="str">
        <f ca="1">IFERROR(INDIRECT("'"&amp;Inhoudsopgave!$T$5&amp;"'!X8"),"")</f>
        <v/>
      </c>
      <c r="R12" s="272" t="str">
        <f ca="1">IFERROR(P12+Q12,"")</f>
        <v/>
      </c>
      <c r="S12" s="273" t="str">
        <f ca="1">IFERROR(INDIRECT("'"&amp;Inhoudsopgave!$T$7&amp;"'!R8"),"")</f>
        <v/>
      </c>
      <c r="T12" s="274" t="str">
        <f ca="1">IFERROR(INDIRECT("'"&amp;Inhoudsopgave!$T$7&amp;"'!S8"),"")</f>
        <v/>
      </c>
      <c r="U12" s="271" t="str">
        <f ca="1">IFERROR(INDIRECT("'"&amp;Inhoudsopgave!$T$7&amp;"'!T8"),"")</f>
        <v/>
      </c>
      <c r="V12" s="271" t="str">
        <f ca="1">IFERROR(INDIRECT("'"&amp;Inhoudsopgave!$T$7&amp;"'!U8"),"")</f>
        <v/>
      </c>
      <c r="W12" s="275" t="str">
        <f ca="1">IFERROR(INDIRECT("'"&amp;Inhoudsopgave!$T$7&amp;"'!V8"),"")</f>
        <v/>
      </c>
      <c r="X12" s="271" t="str">
        <f ca="1">IFERROR(INDIRECT("'"&amp;Inhoudsopgave!$T$7&amp;"'!W8"),"")</f>
        <v/>
      </c>
      <c r="Y12" s="271" t="str">
        <f ca="1">IFERROR(INDIRECT("'"&amp;Inhoudsopgave!$T$7&amp;"'!X8"),"")</f>
        <v/>
      </c>
      <c r="Z12" s="272" t="str">
        <f ca="1">IFERROR(X12+Y12,"")</f>
        <v/>
      </c>
    </row>
    <row r="13" spans="1:26">
      <c r="A13" s="288" t="str">
        <f>Inhoudsopgave!R6</f>
        <v/>
      </c>
      <c r="B13" s="289"/>
      <c r="C13" s="289"/>
      <c r="D13" s="289"/>
      <c r="E13" s="289"/>
      <c r="F13" s="289"/>
      <c r="G13" s="289"/>
      <c r="H13" s="289"/>
      <c r="I13" s="290"/>
      <c r="J13" s="213" t="str">
        <f>Inhoudsopgave!S6</f>
        <v/>
      </c>
      <c r="K13" s="278"/>
      <c r="L13" s="274"/>
      <c r="M13" s="271"/>
      <c r="N13" s="271"/>
      <c r="O13" s="275"/>
      <c r="P13" s="271"/>
      <c r="Q13" s="271"/>
      <c r="R13" s="272"/>
      <c r="S13" s="273"/>
      <c r="T13" s="274"/>
      <c r="U13" s="271"/>
      <c r="V13" s="271"/>
      <c r="W13" s="275"/>
      <c r="X13" s="271"/>
      <c r="Y13" s="271"/>
      <c r="Z13" s="272"/>
    </row>
    <row r="14" spans="1:26">
      <c r="A14" s="288" t="str">
        <f>Inhoudsopgave!R7</f>
        <v/>
      </c>
      <c r="B14" s="289"/>
      <c r="C14" s="289"/>
      <c r="D14" s="289"/>
      <c r="E14" s="289"/>
      <c r="F14" s="289"/>
      <c r="G14" s="289"/>
      <c r="H14" s="289"/>
      <c r="I14" s="290"/>
      <c r="J14" s="213" t="str">
        <f>Inhoudsopgave!S7</f>
        <v/>
      </c>
      <c r="K14" s="214"/>
      <c r="M14" s="221"/>
      <c r="N14" s="221"/>
      <c r="O14" s="223"/>
      <c r="P14" s="221"/>
      <c r="Q14" s="221"/>
      <c r="R14" s="224"/>
      <c r="U14" s="221"/>
      <c r="V14" s="221"/>
      <c r="W14" s="223"/>
      <c r="X14" s="221"/>
      <c r="Y14" s="221"/>
      <c r="Z14" s="224"/>
    </row>
    <row r="15" spans="1:26" ht="15" customHeight="1">
      <c r="A15" s="288" t="str">
        <f>Inhoudsopgave!R8</f>
        <v/>
      </c>
      <c r="B15" s="289"/>
      <c r="C15" s="289"/>
      <c r="D15" s="289"/>
      <c r="E15" s="289"/>
      <c r="F15" s="289"/>
      <c r="G15" s="289"/>
      <c r="H15" s="289"/>
      <c r="I15" s="290"/>
      <c r="J15" s="213" t="str">
        <f>Inhoudsopgave!S8</f>
        <v/>
      </c>
      <c r="K15" s="214"/>
      <c r="M15" s="221"/>
      <c r="N15" s="221"/>
      <c r="O15" s="223"/>
      <c r="P15" s="221"/>
      <c r="Q15" s="221"/>
      <c r="R15" s="224"/>
      <c r="U15" s="221"/>
      <c r="V15" s="221"/>
      <c r="W15" s="223"/>
      <c r="X15" s="221"/>
      <c r="Y15" s="221"/>
      <c r="Z15" s="224"/>
    </row>
    <row r="16" spans="1:26">
      <c r="A16" s="288" t="str">
        <f>Inhoudsopgave!R9</f>
        <v/>
      </c>
      <c r="B16" s="289"/>
      <c r="C16" s="289"/>
      <c r="D16" s="289"/>
      <c r="E16" s="289"/>
      <c r="F16" s="289"/>
      <c r="G16" s="289"/>
      <c r="H16" s="289"/>
      <c r="I16" s="290"/>
      <c r="J16" s="213" t="str">
        <f>Inhoudsopgave!S9</f>
        <v/>
      </c>
      <c r="K16" s="214"/>
      <c r="M16" s="221"/>
      <c r="N16" s="221"/>
      <c r="O16" s="223"/>
      <c r="P16" s="221"/>
      <c r="Q16" s="221"/>
      <c r="R16" s="224"/>
      <c r="U16" s="221"/>
      <c r="V16" s="221"/>
      <c r="W16" s="223"/>
      <c r="X16" s="221"/>
      <c r="Y16" s="221"/>
      <c r="Z16" s="224"/>
    </row>
    <row r="17" spans="1:26">
      <c r="A17" s="288" t="str">
        <f>Inhoudsopgave!R10</f>
        <v/>
      </c>
      <c r="B17" s="289"/>
      <c r="C17" s="289"/>
      <c r="D17" s="289"/>
      <c r="E17" s="289"/>
      <c r="F17" s="289"/>
      <c r="G17" s="289"/>
      <c r="H17" s="289"/>
      <c r="I17" s="290"/>
      <c r="J17" s="213" t="str">
        <f>Inhoudsopgave!S10</f>
        <v/>
      </c>
      <c r="K17" s="214"/>
      <c r="M17" s="221"/>
      <c r="N17" s="221"/>
      <c r="O17" s="223"/>
      <c r="P17" s="221"/>
      <c r="Q17" s="221"/>
      <c r="R17" s="224"/>
      <c r="U17" s="221"/>
      <c r="V17" s="221"/>
      <c r="W17" s="223"/>
      <c r="X17" s="221"/>
      <c r="Y17" s="221"/>
      <c r="Z17" s="224"/>
    </row>
    <row r="18" spans="1:26">
      <c r="A18" s="288" t="str">
        <f>Inhoudsopgave!R11</f>
        <v/>
      </c>
      <c r="B18" s="289"/>
      <c r="C18" s="289"/>
      <c r="D18" s="289"/>
      <c r="E18" s="289"/>
      <c r="F18" s="289"/>
      <c r="G18" s="289"/>
      <c r="H18" s="289"/>
      <c r="I18" s="290"/>
      <c r="J18" s="213" t="str">
        <f>Inhoudsopgave!S11</f>
        <v/>
      </c>
      <c r="K18" s="214"/>
      <c r="M18" s="221"/>
      <c r="N18" s="221"/>
      <c r="O18" s="223"/>
      <c r="P18" s="221"/>
      <c r="Q18" s="221"/>
      <c r="R18" s="224"/>
      <c r="U18" s="221"/>
      <c r="V18" s="221"/>
      <c r="W18" s="223"/>
      <c r="X18" s="221"/>
      <c r="Y18" s="221"/>
      <c r="Z18" s="224"/>
    </row>
    <row r="19" spans="1:26">
      <c r="A19" s="288" t="str">
        <f>Inhoudsopgave!R12</f>
        <v/>
      </c>
      <c r="B19" s="289"/>
      <c r="C19" s="289"/>
      <c r="D19" s="289"/>
      <c r="E19" s="289"/>
      <c r="F19" s="289"/>
      <c r="G19" s="289"/>
      <c r="H19" s="289"/>
      <c r="I19" s="290"/>
      <c r="J19" s="213" t="str">
        <f>Inhoudsopgave!S12</f>
        <v/>
      </c>
      <c r="K19" s="214"/>
      <c r="M19" s="221"/>
      <c r="N19" s="221"/>
      <c r="O19" s="223"/>
      <c r="P19" s="221"/>
      <c r="Q19" s="221"/>
      <c r="R19" s="224"/>
      <c r="U19" s="221"/>
      <c r="V19" s="221"/>
      <c r="W19" s="223"/>
      <c r="X19" s="221"/>
      <c r="Y19" s="221"/>
      <c r="Z19" s="224"/>
    </row>
    <row r="20" spans="1:26">
      <c r="A20" s="288" t="str">
        <f>Inhoudsopgave!R13</f>
        <v/>
      </c>
      <c r="B20" s="289"/>
      <c r="C20" s="289"/>
      <c r="D20" s="289"/>
      <c r="E20" s="289"/>
      <c r="F20" s="289"/>
      <c r="G20" s="289"/>
      <c r="H20" s="289"/>
      <c r="I20" s="290"/>
      <c r="J20" s="213" t="str">
        <f>Inhoudsopgave!S13</f>
        <v/>
      </c>
      <c r="K20" s="214"/>
      <c r="M20" s="221"/>
      <c r="N20" s="221"/>
      <c r="O20" s="223"/>
      <c r="P20" s="221"/>
      <c r="Q20" s="221"/>
      <c r="R20" s="224"/>
      <c r="U20" s="221"/>
      <c r="V20" s="221"/>
      <c r="W20" s="223"/>
      <c r="X20" s="221"/>
      <c r="Y20" s="221"/>
      <c r="Z20" s="224"/>
    </row>
    <row r="21" spans="1:26">
      <c r="A21" s="214"/>
      <c r="B21" s="214"/>
      <c r="D21" s="215"/>
      <c r="E21" s="228" t="s">
        <v>609</v>
      </c>
      <c r="F21" s="228"/>
      <c r="J21" s="216">
        <f>SUM(J12:J20)</f>
        <v>0</v>
      </c>
      <c r="K21" s="214"/>
      <c r="M21" s="221"/>
      <c r="N21" s="221"/>
      <c r="O21" s="223"/>
      <c r="P21" s="221"/>
      <c r="Q21" s="221"/>
      <c r="R21" s="224"/>
      <c r="U21" s="221"/>
      <c r="V21" s="221"/>
      <c r="W21" s="223"/>
      <c r="X21" s="221"/>
      <c r="Y21" s="221"/>
      <c r="Z21" s="224"/>
    </row>
    <row r="22" spans="1:26">
      <c r="A22" s="214"/>
      <c r="B22" s="214"/>
      <c r="K22" s="214"/>
      <c r="M22" s="221"/>
      <c r="N22" s="221"/>
      <c r="O22" s="223"/>
      <c r="P22" s="221"/>
      <c r="Q22" s="221"/>
      <c r="R22" s="224"/>
      <c r="U22" s="221"/>
      <c r="V22" s="221"/>
      <c r="W22" s="223"/>
      <c r="X22" s="221"/>
      <c r="Y22" s="221"/>
      <c r="Z22" s="224"/>
    </row>
    <row r="23" spans="1:26">
      <c r="A23" t="s">
        <v>610</v>
      </c>
      <c r="C23" s="215"/>
      <c r="D23" s="215"/>
      <c r="E23" s="214"/>
      <c r="F23" s="217" t="s">
        <v>611</v>
      </c>
      <c r="M23" s="221"/>
      <c r="N23" s="221"/>
      <c r="O23" s="223"/>
      <c r="P23" s="221"/>
      <c r="Q23" s="221"/>
      <c r="R23" s="224"/>
      <c r="U23" s="221"/>
      <c r="V23" s="221"/>
      <c r="W23" s="223"/>
      <c r="X23" s="221"/>
      <c r="Y23" s="221"/>
      <c r="Z23" s="224"/>
    </row>
    <row r="24" spans="1:26">
      <c r="M24" s="221"/>
      <c r="N24" s="221"/>
      <c r="O24" s="223"/>
      <c r="P24" s="221"/>
      <c r="Q24" s="221"/>
      <c r="R24" s="224"/>
      <c r="U24" s="221"/>
      <c r="V24" s="221"/>
      <c r="W24" s="223"/>
      <c r="X24" s="221"/>
      <c r="Y24" s="221"/>
      <c r="Z24" s="224"/>
    </row>
    <row r="25" spans="1:26">
      <c r="A25" s="214"/>
      <c r="B25" s="214"/>
      <c r="C25" s="215"/>
      <c r="D25" s="215"/>
      <c r="E25" s="214"/>
      <c r="F25" s="218"/>
      <c r="M25" s="221"/>
      <c r="N25" s="221"/>
      <c r="O25" s="223"/>
      <c r="P25" s="221"/>
      <c r="Q25" s="221"/>
      <c r="R25" s="224"/>
      <c r="U25" s="221"/>
      <c r="V25" s="221"/>
      <c r="W25" s="223"/>
      <c r="X25" s="221"/>
      <c r="Y25" s="221"/>
      <c r="Z25" s="224"/>
    </row>
    <row r="26" spans="1:26">
      <c r="A26" s="214"/>
      <c r="B26" s="214"/>
      <c r="C26" s="215"/>
      <c r="D26" s="215"/>
      <c r="E26" s="214"/>
      <c r="F26" s="218"/>
      <c r="M26" s="221"/>
      <c r="N26" s="221"/>
      <c r="O26" s="223"/>
      <c r="P26" s="221"/>
      <c r="Q26" s="221"/>
      <c r="R26" s="224"/>
      <c r="U26" s="221"/>
      <c r="V26" s="221"/>
      <c r="W26" s="223"/>
      <c r="X26" s="221"/>
      <c r="Y26" s="221"/>
      <c r="Z26" s="224"/>
    </row>
    <row r="27" spans="1:26">
      <c r="A27" s="214"/>
      <c r="B27" s="214"/>
      <c r="C27" s="215"/>
      <c r="D27" s="215"/>
      <c r="E27" s="214"/>
      <c r="F27" s="218"/>
      <c r="M27" s="221"/>
      <c r="N27" s="221"/>
      <c r="O27" s="223"/>
      <c r="P27" s="221"/>
      <c r="Q27" s="221"/>
      <c r="R27" s="224"/>
      <c r="U27" s="221"/>
      <c r="V27" s="221"/>
      <c r="W27" s="223"/>
      <c r="X27" s="221"/>
      <c r="Y27" s="221"/>
      <c r="Z27" s="224"/>
    </row>
    <row r="28" spans="1:26">
      <c r="A28" s="214"/>
      <c r="B28" s="214"/>
      <c r="C28" s="215"/>
      <c r="D28" s="215"/>
      <c r="E28" s="214"/>
      <c r="F28" s="218"/>
      <c r="U28" s="221"/>
      <c r="V28" s="221"/>
      <c r="W28" s="223"/>
      <c r="X28" s="221"/>
      <c r="Y28" s="221"/>
      <c r="Z28" s="224"/>
    </row>
    <row r="29" spans="1:26" ht="15" customHeight="1"/>
    <row r="30" spans="1:26">
      <c r="M30" s="221"/>
      <c r="N30" s="221"/>
      <c r="O30" s="223"/>
      <c r="P30" s="221"/>
      <c r="Q30" s="221"/>
      <c r="R30" s="224"/>
    </row>
    <row r="32" spans="1:26">
      <c r="A32" s="281" t="s">
        <v>691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 t="str">
        <f>IF(L5="prestatie",A32,"")</f>
        <v/>
      </c>
      <c r="L32" s="281"/>
      <c r="M32" s="281"/>
      <c r="N32" s="281"/>
      <c r="O32" s="281"/>
      <c r="P32" s="281"/>
      <c r="Q32" s="281"/>
      <c r="R32" s="281"/>
      <c r="S32" s="281" t="str">
        <f>IF(T5="prestatie",A32,"")</f>
        <v/>
      </c>
      <c r="T32" s="281"/>
      <c r="U32" s="281"/>
      <c r="V32" s="281"/>
      <c r="W32" s="281"/>
      <c r="X32" s="281"/>
      <c r="Y32" s="281"/>
      <c r="Z32" s="281"/>
    </row>
    <row r="33" spans="1:26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</row>
    <row r="34" spans="1:26" ht="15" customHeight="1">
      <c r="K34" s="276" t="str">
        <f>IF(A13&gt;0,A13,"")</f>
        <v/>
      </c>
      <c r="L34" s="276"/>
      <c r="M34" s="276"/>
      <c r="N34" s="276"/>
      <c r="O34" s="276"/>
      <c r="P34" s="276"/>
      <c r="Q34" s="276"/>
      <c r="R34" s="276"/>
      <c r="S34" s="276" t="str">
        <f>IF(A15&gt;0,A15,"")</f>
        <v/>
      </c>
      <c r="T34" s="276"/>
      <c r="U34" s="276"/>
      <c r="V34" s="276"/>
      <c r="W34" s="276"/>
      <c r="X34" s="276"/>
      <c r="Y34" s="276"/>
      <c r="Z34" s="276"/>
    </row>
    <row r="35" spans="1:26">
      <c r="K35" s="219" t="str">
        <f>IF(Inhoudsopgave!$U$5&gt;Inhoudsopgave!$V$5,VPOmetVPB!$A$2,"")</f>
        <v/>
      </c>
      <c r="L35" s="220" t="str">
        <f>IF(Inhoudsopgave!$U$5&gt;Inhoudsopgave!$V$5,VPOmetVPB!$B$2,"")</f>
        <v/>
      </c>
      <c r="M35" s="282" t="str">
        <f>IF(Inhoudsopgave!$U$5&gt;Inhoudsopgave!$V$5,VPOmetVPB!$C$2,"")</f>
        <v/>
      </c>
      <c r="N35" s="282" t="str">
        <f>IF(Inhoudsopgave!$U$5&gt;Inhoudsopgave!$V$5,VPOmetVPB!$D$2,"")</f>
        <v/>
      </c>
      <c r="O35" s="282" t="str">
        <f>IF(Inhoudsopgave!$U$5&gt;Inhoudsopgave!$V$5,VPOmetVPB!$E$2,"")</f>
        <v/>
      </c>
      <c r="P35" s="279" t="str">
        <f>IF(Inhoudsopgave!$U$5&gt;Inhoudsopgave!$V$5,VPOmetVPB!$F$2,"")</f>
        <v/>
      </c>
      <c r="Q35" s="279"/>
      <c r="R35" s="279"/>
      <c r="S35" s="219" t="str">
        <f>IF(Inhoudsopgave!$U$5&gt;Inhoudsopgave!$V$7,VPOmetVPB!$A$2,"")</f>
        <v/>
      </c>
      <c r="T35" s="220" t="str">
        <f>IF(Inhoudsopgave!$U$5&gt;Inhoudsopgave!$V$7,VPOmetVPB!$B$2,"")</f>
        <v/>
      </c>
      <c r="U35" s="282" t="str">
        <f>IF(Inhoudsopgave!$U$5&gt;Inhoudsopgave!$V$7,VPOmetVPB!$C$2,"")</f>
        <v/>
      </c>
      <c r="V35" s="282" t="str">
        <f>IF(Inhoudsopgave!$U$5&gt;Inhoudsopgave!$V$7,VPOmetVPB!$D$2,"")</f>
        <v/>
      </c>
      <c r="W35" s="282" t="str">
        <f>IF(Inhoudsopgave!$U$5&gt;Inhoudsopgave!$V$7,VPOmetVPB!$E$2,"")</f>
        <v/>
      </c>
      <c r="X35" s="279" t="str">
        <f>IF(Inhoudsopgave!$U$5&gt;Inhoudsopgave!$V$7,VPOmetVPB!$F$2,"")</f>
        <v/>
      </c>
      <c r="Y35" s="279"/>
      <c r="Z35" s="279"/>
    </row>
    <row r="36" spans="1:26">
      <c r="M36" s="282"/>
      <c r="N36" s="282"/>
      <c r="O36" s="282"/>
      <c r="P36" s="280" t="str">
        <f>IF(Inhoudsopgave!$U$5&gt;Inhoudsopgave!$V$5,VPOmetVPB!$F$3,"")</f>
        <v/>
      </c>
      <c r="Q36" s="280" t="str">
        <f>IF(Inhoudsopgave!$U$5&gt;Inhoudsopgave!$V$5,VPOmetVPB!$G$3,"")</f>
        <v/>
      </c>
      <c r="R36" s="280" t="str">
        <f>IF(Inhoudsopgave!$U$5&gt;Inhoudsopgave!$V$5,VPOmetVPB!$H$3,"")</f>
        <v/>
      </c>
      <c r="U36" s="282"/>
      <c r="V36" s="282"/>
      <c r="W36" s="282"/>
      <c r="X36" s="280" t="str">
        <f>IF(Inhoudsopgave!$U$5&gt;Inhoudsopgave!$V$7,VPOmetVPB!$F$3,"")</f>
        <v/>
      </c>
      <c r="Y36" s="280" t="str">
        <f>IF(Inhoudsopgave!$U$5&gt;Inhoudsopgave!$V$7,VPOmetVPB!$G$3,"")</f>
        <v/>
      </c>
      <c r="Z36" s="280" t="str">
        <f>IF(Inhoudsopgave!$U$5&gt;Inhoudsopgave!$V$7,VPOmetVPB!$H$3,"")</f>
        <v/>
      </c>
    </row>
    <row r="37" spans="1:26">
      <c r="K37" s="277" t="str">
        <f>IF(Inhoudsopgave!$U$5&gt;Inhoudsopgave!$V$5,VPOmetVPB!$A$4,"")</f>
        <v/>
      </c>
      <c r="M37" s="282"/>
      <c r="N37" s="282"/>
      <c r="O37" s="282"/>
      <c r="P37" s="280"/>
      <c r="Q37" s="280"/>
      <c r="R37" s="280"/>
      <c r="S37" s="277" t="str">
        <f>IF(Inhoudsopgave!$U$5&gt;Inhoudsopgave!$V$7,VPOmetVPB!$A$4,"")</f>
        <v/>
      </c>
      <c r="U37" s="282"/>
      <c r="V37" s="282"/>
      <c r="W37" s="282"/>
      <c r="X37" s="280"/>
      <c r="Y37" s="280"/>
      <c r="Z37" s="280"/>
    </row>
    <row r="38" spans="1:26">
      <c r="K38" s="277"/>
      <c r="L38" s="225" t="str">
        <f>IF(Inhoudsopgave!$U$5&gt;Inhoudsopgave!$V$5,VPOmetVPB!$B$4,"")</f>
        <v/>
      </c>
      <c r="M38" s="226" t="str">
        <f>IF(Inhoudsopgave!$U$5&gt;Inhoudsopgave!$V$5,SUM(M39:M64),"")</f>
        <v/>
      </c>
      <c r="N38" s="226" t="str">
        <f>IF(Inhoudsopgave!$U$5&gt;Inhoudsopgave!$V$5,SUM(N39:N64),"")</f>
        <v/>
      </c>
      <c r="O38" s="226"/>
      <c r="P38" s="226" t="str">
        <f>IF(Inhoudsopgave!$U$5&gt;Inhoudsopgave!$V$5,SUM(P39:P64),"")</f>
        <v/>
      </c>
      <c r="Q38" s="226" t="str">
        <f>IF(Inhoudsopgave!$U$5&gt;Inhoudsopgave!$V$5,SUM(Q39:Q64),"")</f>
        <v/>
      </c>
      <c r="R38" s="226" t="str">
        <f>IF(Inhoudsopgave!$U$5&gt;Inhoudsopgave!$V$5,SUM(R39:R64),"")</f>
        <v/>
      </c>
      <c r="S38" s="277"/>
      <c r="T38" s="225" t="str">
        <f>IF(Inhoudsopgave!$U$5&gt;Inhoudsopgave!$V$7,VPOmetVPB!$B$4,"")</f>
        <v/>
      </c>
      <c r="U38" s="226" t="str">
        <f>IF(Inhoudsopgave!$U$5&gt;Inhoudsopgave!$V$7,SUM(U39:U64),"")</f>
        <v/>
      </c>
      <c r="V38" s="226" t="str">
        <f>IF(Inhoudsopgave!$U$5&gt;Inhoudsopgave!$V$7,SUM(V39:V64),"")</f>
        <v/>
      </c>
      <c r="W38" s="226"/>
      <c r="X38" s="226" t="str">
        <f>IF(Inhoudsopgave!$U$5&gt;Inhoudsopgave!$V$7,SUM(X39:X64),"")</f>
        <v/>
      </c>
      <c r="Y38" s="226" t="str">
        <f>IF(Inhoudsopgave!$U$5&gt;Inhoudsopgave!$V$7,SUM(Y39:Y64),"")</f>
        <v/>
      </c>
      <c r="Z38" s="226" t="str">
        <f>IF(Inhoudsopgave!$U$5&gt;Inhoudsopgave!$V$7,SUM(Z39:Z64),"")</f>
        <v/>
      </c>
    </row>
    <row r="39" spans="1:26">
      <c r="K39" s="273" t="str">
        <f ca="1">IFERROR(INDIRECT("'"&amp;Inhoudsopgave!$T$6&amp;"'!R5"),"")</f>
        <v/>
      </c>
      <c r="L39" s="274" t="str">
        <f ca="1">IFERROR(INDIRECT("'"&amp;Inhoudsopgave!$T$6&amp;"'!S5"),"")</f>
        <v/>
      </c>
      <c r="M39" s="271" t="str">
        <f ca="1">IFERROR(INDIRECT("'"&amp;Inhoudsopgave!$T$6&amp;"'!T5"),"")</f>
        <v/>
      </c>
      <c r="N39" s="271" t="str">
        <f ca="1">IFERROR(INDIRECT("'"&amp;Inhoudsopgave!$T$6&amp;"'!U5"),"")</f>
        <v/>
      </c>
      <c r="O39" s="275" t="str">
        <f ca="1">IFERROR(INDIRECT("'"&amp;Inhoudsopgave!$T$6&amp;"'!V5"),"")</f>
        <v/>
      </c>
      <c r="P39" s="271" t="str">
        <f ca="1">IFERROR(INDIRECT("'"&amp;Inhoudsopgave!$T$6&amp;"'!W5"),"")</f>
        <v/>
      </c>
      <c r="Q39" s="271" t="str">
        <f ca="1">IFERROR(INDIRECT("'"&amp;Inhoudsopgave!$T$6&amp;"'!X5"),"")</f>
        <v/>
      </c>
      <c r="R39" s="272" t="str">
        <f ca="1">IFERROR(P39+Q39,"")</f>
        <v/>
      </c>
      <c r="S39" s="273" t="str">
        <f ca="1">IFERROR(INDIRECT("'"&amp;Inhoudsopgave!$T$8&amp;"'!R5"),"")</f>
        <v/>
      </c>
      <c r="T39" s="274" t="str">
        <f ca="1">IFERROR(INDIRECT("'"&amp;Inhoudsopgave!$T$8&amp;"'!S5"),"")</f>
        <v/>
      </c>
      <c r="U39" s="271" t="str">
        <f ca="1">IFERROR(INDIRECT("'"&amp;Inhoudsopgave!$T$8&amp;"'!T5"),"")</f>
        <v/>
      </c>
      <c r="V39" s="271" t="str">
        <f ca="1">IFERROR(INDIRECT("'"&amp;Inhoudsopgave!$T$8&amp;"'!U5"),"")</f>
        <v/>
      </c>
      <c r="W39" s="275" t="str">
        <f ca="1">IFERROR(INDIRECT("'"&amp;Inhoudsopgave!$T$8&amp;"'!V5"),"")</f>
        <v/>
      </c>
      <c r="X39" s="271" t="str">
        <f ca="1">IFERROR(INDIRECT("'"&amp;Inhoudsopgave!$T$8&amp;"'!W5"),"")</f>
        <v/>
      </c>
      <c r="Y39" s="271" t="str">
        <f ca="1">IFERROR(INDIRECT("'"&amp;Inhoudsopgave!$T$8&amp;"'!X5"),"")</f>
        <v/>
      </c>
      <c r="Z39" s="272" t="str">
        <f ca="1">IFERROR(X39+Y39,"")</f>
        <v/>
      </c>
    </row>
    <row r="40" spans="1:26">
      <c r="K40" s="273"/>
      <c r="L40" s="274"/>
      <c r="M40" s="271"/>
      <c r="N40" s="271"/>
      <c r="O40" s="275"/>
      <c r="P40" s="271"/>
      <c r="Q40" s="271"/>
      <c r="R40" s="272"/>
      <c r="S40" s="273"/>
      <c r="T40" s="274"/>
      <c r="U40" s="271"/>
      <c r="V40" s="271"/>
      <c r="W40" s="275"/>
      <c r="X40" s="271"/>
      <c r="Y40" s="271"/>
      <c r="Z40" s="272"/>
    </row>
    <row r="41" spans="1:26">
      <c r="K41" s="273" t="str">
        <f ca="1">IFERROR(INDIRECT("'"&amp;Inhoudsopgave!$T$6&amp;"'!R6"),"")</f>
        <v/>
      </c>
      <c r="L41" s="274" t="str">
        <f ca="1">IFERROR(INDIRECT("'"&amp;Inhoudsopgave!$T$6&amp;"'!S6"),"")</f>
        <v/>
      </c>
      <c r="M41" s="271" t="str">
        <f ca="1">IFERROR(INDIRECT("'"&amp;Inhoudsopgave!$T$6&amp;"'!T6"),"")</f>
        <v/>
      </c>
      <c r="N41" s="271" t="str">
        <f ca="1">IFERROR(INDIRECT("'"&amp;Inhoudsopgave!$T$6&amp;"'!U6"),"")</f>
        <v/>
      </c>
      <c r="O41" s="275" t="str">
        <f ca="1">IFERROR(INDIRECT("'"&amp;Inhoudsopgave!$T$6&amp;"'!V6"),"")</f>
        <v/>
      </c>
      <c r="P41" s="271" t="str">
        <f ca="1">IFERROR(INDIRECT("'"&amp;Inhoudsopgave!$T$6&amp;"'!W6"),"")</f>
        <v/>
      </c>
      <c r="Q41" s="271" t="str">
        <f ca="1">IFERROR(INDIRECT("'"&amp;Inhoudsopgave!$T$6&amp;"'!X6"),"")</f>
        <v/>
      </c>
      <c r="R41" s="272" t="str">
        <f ca="1">IFERROR(P41+Q41,"")</f>
        <v/>
      </c>
      <c r="S41" s="273" t="str">
        <f ca="1">IFERROR(INDIRECT("'"&amp;Inhoudsopgave!$T$8&amp;"'!R6"),"")</f>
        <v/>
      </c>
      <c r="T41" s="274" t="str">
        <f ca="1">IFERROR(INDIRECT("'"&amp;Inhoudsopgave!$T$8&amp;"'!S6"),"")</f>
        <v/>
      </c>
      <c r="U41" s="271" t="str">
        <f ca="1">IFERROR(INDIRECT("'"&amp;Inhoudsopgave!$T$8&amp;"'!T6"),"")</f>
        <v/>
      </c>
      <c r="V41" s="271" t="str">
        <f ca="1">IFERROR(INDIRECT("'"&amp;Inhoudsopgave!$T$8&amp;"'!U6"),"")</f>
        <v/>
      </c>
      <c r="W41" s="275" t="str">
        <f ca="1">IFERROR(INDIRECT("'"&amp;Inhoudsopgave!$T$8&amp;"'!V6"),"")</f>
        <v/>
      </c>
      <c r="X41" s="271" t="str">
        <f ca="1">IFERROR(INDIRECT("'"&amp;Inhoudsopgave!$T$8&amp;"'!W6"),"")</f>
        <v/>
      </c>
      <c r="Y41" s="271" t="str">
        <f ca="1">IFERROR(INDIRECT("'"&amp;Inhoudsopgave!$T$8&amp;"'!X6"),"")</f>
        <v/>
      </c>
      <c r="Z41" s="272" t="str">
        <f ca="1">IFERROR(X41+Y41,"")</f>
        <v/>
      </c>
    </row>
    <row r="42" spans="1:26">
      <c r="K42" s="273"/>
      <c r="L42" s="274"/>
      <c r="M42" s="271"/>
      <c r="N42" s="271"/>
      <c r="O42" s="275"/>
      <c r="P42" s="271"/>
      <c r="Q42" s="271"/>
      <c r="R42" s="272"/>
      <c r="S42" s="273"/>
      <c r="T42" s="274"/>
      <c r="U42" s="271"/>
      <c r="V42" s="271"/>
      <c r="W42" s="275"/>
      <c r="X42" s="271"/>
      <c r="Y42" s="271"/>
      <c r="Z42" s="272"/>
    </row>
    <row r="43" spans="1:26">
      <c r="K43" s="273" t="str">
        <f ca="1">IFERROR(INDIRECT("'"&amp;Inhoudsopgave!$T$6&amp;"'!R7"),"")</f>
        <v/>
      </c>
      <c r="L43" s="274" t="str">
        <f ca="1">IFERROR(INDIRECT("'"&amp;Inhoudsopgave!$T$6&amp;"'!S7"),"")</f>
        <v/>
      </c>
      <c r="M43" s="271" t="str">
        <f ca="1">IFERROR(INDIRECT("'"&amp;Inhoudsopgave!$T$6&amp;"'!T7"),"")</f>
        <v/>
      </c>
      <c r="N43" s="271" t="str">
        <f ca="1">IFERROR(INDIRECT("'"&amp;Inhoudsopgave!$T$6&amp;"'!U7"),"")</f>
        <v/>
      </c>
      <c r="O43" s="275" t="str">
        <f ca="1">IFERROR(INDIRECT("'"&amp;Inhoudsopgave!$T$6&amp;"'!V7"),"")</f>
        <v/>
      </c>
      <c r="P43" s="271" t="str">
        <f ca="1">IFERROR(INDIRECT("'"&amp;Inhoudsopgave!$T$6&amp;"'!W7"),"")</f>
        <v/>
      </c>
      <c r="Q43" s="271" t="str">
        <f ca="1">IFERROR(INDIRECT("'"&amp;Inhoudsopgave!$T$6&amp;"'!X7"),"")</f>
        <v/>
      </c>
      <c r="R43" s="272" t="str">
        <f ca="1">IFERROR(P43+Q43,"")</f>
        <v/>
      </c>
      <c r="S43" s="273" t="str">
        <f ca="1">IFERROR(INDIRECT("'"&amp;Inhoudsopgave!$T$8&amp;"'!R7"),"")</f>
        <v/>
      </c>
      <c r="T43" s="274" t="str">
        <f ca="1">IFERROR(INDIRECT("'"&amp;Inhoudsopgave!$T$8&amp;"'!S7"),"")</f>
        <v/>
      </c>
      <c r="U43" s="271" t="str">
        <f ca="1">IFERROR(INDIRECT("'"&amp;Inhoudsopgave!$T$8&amp;"'!T7"),"")</f>
        <v/>
      </c>
      <c r="V43" s="271" t="str">
        <f ca="1">IFERROR(INDIRECT("'"&amp;Inhoudsopgave!$T$8&amp;"'!U7"),"")</f>
        <v/>
      </c>
      <c r="W43" s="275" t="str">
        <f ca="1">IFERROR(INDIRECT("'"&amp;Inhoudsopgave!$T$8&amp;"'!V7"),"")</f>
        <v/>
      </c>
      <c r="X43" s="271" t="str">
        <f ca="1">IFERROR(INDIRECT("'"&amp;Inhoudsopgave!$T$8&amp;"'!W7"),"")</f>
        <v/>
      </c>
      <c r="Y43" s="271" t="str">
        <f ca="1">IFERROR(INDIRECT("'"&amp;Inhoudsopgave!$T$8&amp;"'!X7"),"")</f>
        <v/>
      </c>
      <c r="Z43" s="272" t="str">
        <f ca="1">IFERROR(X43+Y43,"")</f>
        <v/>
      </c>
    </row>
    <row r="44" spans="1:26">
      <c r="K44" s="273"/>
      <c r="L44" s="274"/>
      <c r="M44" s="271"/>
      <c r="N44" s="271"/>
      <c r="O44" s="275"/>
      <c r="P44" s="271"/>
      <c r="Q44" s="271"/>
      <c r="R44" s="272"/>
      <c r="S44" s="273"/>
      <c r="T44" s="274"/>
      <c r="U44" s="271"/>
      <c r="V44" s="271"/>
      <c r="W44" s="275"/>
      <c r="X44" s="271"/>
      <c r="Y44" s="271"/>
      <c r="Z44" s="272"/>
    </row>
    <row r="45" spans="1:26">
      <c r="K45" s="273" t="str">
        <f ca="1">IFERROR(INDIRECT("'"&amp;Inhoudsopgave!$T$6&amp;"'!R8"),"")</f>
        <v/>
      </c>
      <c r="L45" s="274" t="str">
        <f ca="1">IFERROR(INDIRECT("'"&amp;Inhoudsopgave!$T$6&amp;"'!S8"),"")</f>
        <v/>
      </c>
      <c r="M45" s="271" t="str">
        <f ca="1">IFERROR(INDIRECT("'"&amp;Inhoudsopgave!$T$6&amp;"'!T8"),"")</f>
        <v/>
      </c>
      <c r="N45" s="271" t="str">
        <f ca="1">IFERROR(INDIRECT("'"&amp;Inhoudsopgave!$T$6&amp;"'!U8"),"")</f>
        <v/>
      </c>
      <c r="O45" s="275" t="str">
        <f ca="1">IFERROR(INDIRECT("'"&amp;Inhoudsopgave!$T$6&amp;"'!V8"),"")</f>
        <v/>
      </c>
      <c r="P45" s="271" t="str">
        <f ca="1">IFERROR(INDIRECT("'"&amp;Inhoudsopgave!$T$6&amp;"'!W8"),"")</f>
        <v/>
      </c>
      <c r="Q45" s="271" t="str">
        <f ca="1">IFERROR(INDIRECT("'"&amp;Inhoudsopgave!$T$6&amp;"'!X8"),"")</f>
        <v/>
      </c>
      <c r="R45" s="272" t="str">
        <f ca="1">IFERROR(P45+Q45,"")</f>
        <v/>
      </c>
      <c r="S45" s="273" t="str">
        <f ca="1">IFERROR(INDIRECT("'"&amp;Inhoudsopgave!$T$8&amp;"'!R8"),"")</f>
        <v/>
      </c>
      <c r="T45" s="274" t="str">
        <f ca="1">IFERROR(INDIRECT("'"&amp;Inhoudsopgave!$T$8&amp;"'!S8"),"")</f>
        <v/>
      </c>
      <c r="U45" s="271" t="str">
        <f ca="1">IFERROR(INDIRECT("'"&amp;Inhoudsopgave!$T$8&amp;"'!T8"),"")</f>
        <v/>
      </c>
      <c r="V45" s="271" t="str">
        <f ca="1">IFERROR(INDIRECT("'"&amp;Inhoudsopgave!$T$8&amp;"'!U8"),"")</f>
        <v/>
      </c>
      <c r="W45" s="275" t="str">
        <f ca="1">IFERROR(INDIRECT("'"&amp;Inhoudsopgave!$T$8&amp;"'!V8"),"")</f>
        <v/>
      </c>
      <c r="X45" s="271" t="str">
        <f ca="1">IFERROR(INDIRECT("'"&amp;Inhoudsopgave!$T$8&amp;"'!W8"),"")</f>
        <v/>
      </c>
      <c r="Y45" s="271" t="str">
        <f ca="1">IFERROR(INDIRECT("'"&amp;Inhoudsopgave!$T$8&amp;"'!X8"),"")</f>
        <v/>
      </c>
      <c r="Z45" s="272" t="str">
        <f ca="1">IFERROR(X45+Y45,"")</f>
        <v/>
      </c>
    </row>
    <row r="46" spans="1:26">
      <c r="K46" s="273"/>
      <c r="L46" s="274"/>
      <c r="M46" s="271"/>
      <c r="N46" s="271"/>
      <c r="O46" s="275"/>
      <c r="P46" s="271"/>
      <c r="Q46" s="271"/>
      <c r="R46" s="272"/>
      <c r="S46" s="273"/>
      <c r="T46" s="274"/>
      <c r="U46" s="271"/>
      <c r="V46" s="271"/>
      <c r="W46" s="275"/>
      <c r="X46" s="271"/>
      <c r="Y46" s="271"/>
      <c r="Z46" s="272"/>
    </row>
    <row r="47" spans="1:26">
      <c r="M47" s="221"/>
      <c r="N47" s="221"/>
      <c r="O47" s="223"/>
      <c r="P47" s="221"/>
      <c r="Q47" s="221"/>
      <c r="R47" s="224"/>
      <c r="U47" s="221"/>
      <c r="V47" s="221"/>
      <c r="W47" s="223"/>
      <c r="X47" s="221"/>
      <c r="Y47" s="221"/>
      <c r="Z47" s="224"/>
    </row>
    <row r="48" spans="1:26">
      <c r="M48" s="221"/>
      <c r="N48" s="221"/>
      <c r="O48" s="223"/>
      <c r="P48" s="221"/>
      <c r="Q48" s="221"/>
      <c r="R48" s="224"/>
      <c r="U48" s="221"/>
      <c r="V48" s="221"/>
      <c r="W48" s="223"/>
      <c r="X48" s="221"/>
      <c r="Y48" s="221"/>
      <c r="Z48" s="224"/>
    </row>
    <row r="49" spans="13:26">
      <c r="M49" s="221"/>
      <c r="N49" s="221"/>
      <c r="O49" s="223"/>
      <c r="P49" s="221"/>
      <c r="Q49" s="221"/>
      <c r="R49" s="224"/>
      <c r="U49" s="221"/>
      <c r="V49" s="221"/>
      <c r="W49" s="223"/>
      <c r="X49" s="221"/>
      <c r="Y49" s="221"/>
      <c r="Z49" s="224"/>
    </row>
    <row r="50" spans="13:26">
      <c r="M50" s="221"/>
      <c r="N50" s="221"/>
      <c r="O50" s="223"/>
      <c r="P50" s="221"/>
      <c r="Q50" s="221"/>
      <c r="R50" s="224"/>
      <c r="U50" s="221"/>
      <c r="V50" s="221"/>
      <c r="W50" s="223"/>
      <c r="X50" s="221"/>
      <c r="Y50" s="221"/>
      <c r="Z50" s="224"/>
    </row>
    <row r="51" spans="13:26">
      <c r="M51" s="221"/>
      <c r="N51" s="221"/>
      <c r="O51" s="223"/>
      <c r="P51" s="221"/>
      <c r="Q51" s="221"/>
      <c r="R51" s="224"/>
      <c r="U51" s="221"/>
      <c r="V51" s="221"/>
      <c r="W51" s="223"/>
      <c r="X51" s="221"/>
      <c r="Y51" s="221"/>
      <c r="Z51" s="224"/>
    </row>
    <row r="52" spans="13:26">
      <c r="M52" s="221"/>
      <c r="N52" s="221"/>
      <c r="O52" s="223"/>
      <c r="P52" s="221"/>
      <c r="Q52" s="221"/>
      <c r="R52" s="224"/>
      <c r="U52" s="221"/>
      <c r="V52" s="221"/>
      <c r="W52" s="223"/>
      <c r="X52" s="221"/>
      <c r="Y52" s="221"/>
      <c r="Z52" s="224"/>
    </row>
    <row r="53" spans="13:26">
      <c r="M53" s="221"/>
      <c r="N53" s="221"/>
      <c r="O53" s="223"/>
      <c r="P53" s="221"/>
      <c r="Q53" s="221"/>
      <c r="R53" s="224"/>
      <c r="U53" s="221"/>
      <c r="V53" s="221"/>
      <c r="W53" s="223"/>
      <c r="X53" s="221"/>
      <c r="Y53" s="221"/>
      <c r="Z53" s="224"/>
    </row>
    <row r="54" spans="13:26">
      <c r="M54" s="221"/>
      <c r="N54" s="221"/>
      <c r="O54" s="223"/>
      <c r="P54" s="221"/>
      <c r="Q54" s="221"/>
      <c r="R54" s="224"/>
      <c r="U54" s="221"/>
      <c r="V54" s="221"/>
      <c r="W54" s="223"/>
      <c r="X54" s="221"/>
      <c r="Y54" s="221"/>
      <c r="Z54" s="224"/>
    </row>
    <row r="55" spans="13:26">
      <c r="M55" s="221"/>
      <c r="N55" s="221"/>
      <c r="O55" s="223"/>
      <c r="P55" s="221"/>
      <c r="Q55" s="221"/>
      <c r="R55" s="224"/>
      <c r="U55" s="221"/>
      <c r="V55" s="221"/>
      <c r="W55" s="223"/>
      <c r="X55" s="221"/>
      <c r="Y55" s="221"/>
      <c r="Z55" s="224"/>
    </row>
    <row r="56" spans="13:26">
      <c r="M56" s="221"/>
      <c r="N56" s="221"/>
      <c r="O56" s="223"/>
      <c r="P56" s="221"/>
      <c r="Q56" s="221"/>
      <c r="R56" s="224"/>
      <c r="U56" s="221"/>
      <c r="V56" s="221"/>
      <c r="W56" s="223"/>
      <c r="X56" s="221"/>
      <c r="Y56" s="221"/>
      <c r="Z56" s="224"/>
    </row>
    <row r="57" spans="13:26">
      <c r="M57" s="221"/>
      <c r="N57" s="221"/>
      <c r="O57" s="223"/>
      <c r="P57" s="221"/>
      <c r="Q57" s="221"/>
      <c r="R57" s="224"/>
      <c r="U57" s="221"/>
      <c r="V57" s="221"/>
      <c r="W57" s="223"/>
      <c r="X57" s="221"/>
      <c r="Y57" s="221"/>
      <c r="Z57" s="224"/>
    </row>
    <row r="58" spans="13:26">
      <c r="M58" s="221"/>
      <c r="N58" s="221"/>
      <c r="O58" s="223"/>
      <c r="P58" s="221"/>
      <c r="Q58" s="221"/>
      <c r="R58" s="224"/>
      <c r="U58" s="221"/>
      <c r="V58" s="221"/>
      <c r="W58" s="223"/>
      <c r="X58" s="221"/>
      <c r="Y58" s="221"/>
      <c r="Z58" s="224"/>
    </row>
    <row r="59" spans="13:26">
      <c r="M59" s="221"/>
      <c r="N59" s="221"/>
      <c r="O59" s="223"/>
      <c r="P59" s="221"/>
      <c r="Q59" s="221"/>
      <c r="R59" s="224"/>
      <c r="U59" s="221"/>
      <c r="V59" s="221"/>
      <c r="W59" s="223"/>
      <c r="X59" s="221"/>
      <c r="Y59" s="221"/>
      <c r="Z59" s="224"/>
    </row>
    <row r="60" spans="13:26">
      <c r="M60" s="221"/>
      <c r="N60" s="221"/>
      <c r="O60" s="223"/>
      <c r="P60" s="221"/>
      <c r="Q60" s="221"/>
      <c r="R60" s="224"/>
      <c r="U60" s="221"/>
      <c r="V60" s="221"/>
      <c r="W60" s="223"/>
      <c r="X60" s="221"/>
      <c r="Y60" s="221"/>
      <c r="Z60" s="224"/>
    </row>
    <row r="61" spans="13:26">
      <c r="M61" s="221"/>
      <c r="N61" s="221"/>
      <c r="O61" s="223"/>
      <c r="P61" s="221"/>
      <c r="Q61" s="221"/>
      <c r="R61" s="224"/>
      <c r="U61" s="221"/>
      <c r="V61" s="221"/>
      <c r="W61" s="223"/>
      <c r="X61" s="221"/>
      <c r="Y61" s="221"/>
      <c r="Z61" s="224"/>
    </row>
    <row r="62" spans="13:26">
      <c r="M62" s="221"/>
      <c r="N62" s="221"/>
      <c r="O62" s="223"/>
      <c r="P62" s="221"/>
      <c r="Q62" s="221"/>
      <c r="R62" s="224"/>
      <c r="U62" s="221"/>
      <c r="V62" s="221"/>
      <c r="W62" s="223"/>
      <c r="X62" s="221"/>
      <c r="Y62" s="221"/>
      <c r="Z62" s="224"/>
    </row>
    <row r="63" spans="13:26">
      <c r="M63" s="221"/>
      <c r="N63" s="221"/>
      <c r="O63" s="223"/>
      <c r="P63" s="221"/>
      <c r="Q63" s="221"/>
      <c r="R63" s="224"/>
      <c r="U63" s="221"/>
      <c r="V63" s="221"/>
      <c r="W63" s="223"/>
      <c r="X63" s="221"/>
      <c r="Y63" s="221"/>
      <c r="Z63" s="224"/>
    </row>
    <row r="65" spans="11:26">
      <c r="K65" s="281" t="str">
        <f>IF(L38="prestatie",A32,"")</f>
        <v/>
      </c>
      <c r="L65" s="281"/>
      <c r="M65" s="281"/>
      <c r="N65" s="281"/>
      <c r="O65" s="281"/>
      <c r="P65" s="281"/>
      <c r="Q65" s="281"/>
      <c r="R65" s="281"/>
      <c r="S65" s="281" t="str">
        <f>IF(T38="prestatie",A32,"")</f>
        <v/>
      </c>
      <c r="T65" s="281"/>
      <c r="U65" s="281"/>
      <c r="V65" s="281"/>
      <c r="W65" s="281"/>
      <c r="X65" s="281"/>
      <c r="Y65" s="281"/>
      <c r="Z65" s="281"/>
    </row>
    <row r="66" spans="11:26"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</row>
  </sheetData>
  <mergeCells count="186">
    <mergeCell ref="A32:J33"/>
    <mergeCell ref="A17:I17"/>
    <mergeCell ref="A18:I18"/>
    <mergeCell ref="A19:I19"/>
    <mergeCell ref="A20:I20"/>
    <mergeCell ref="G5:J5"/>
    <mergeCell ref="A7:B7"/>
    <mergeCell ref="H7:J7"/>
    <mergeCell ref="A1:J3"/>
    <mergeCell ref="A5:B5"/>
    <mergeCell ref="J10:J11"/>
    <mergeCell ref="K1:R1"/>
    <mergeCell ref="S1:Z1"/>
    <mergeCell ref="A9:B9"/>
    <mergeCell ref="A11:I11"/>
    <mergeCell ref="A12:I12"/>
    <mergeCell ref="A13:I13"/>
    <mergeCell ref="A14:I14"/>
    <mergeCell ref="A15:I15"/>
    <mergeCell ref="A16:I16"/>
    <mergeCell ref="R3:R4"/>
    <mergeCell ref="M2:M4"/>
    <mergeCell ref="N2:N4"/>
    <mergeCell ref="O2:O4"/>
    <mergeCell ref="K4:K5"/>
    <mergeCell ref="L6:L7"/>
    <mergeCell ref="K6:K7"/>
    <mergeCell ref="M6:M7"/>
    <mergeCell ref="N6:N7"/>
    <mergeCell ref="U2:U4"/>
    <mergeCell ref="V2:V4"/>
    <mergeCell ref="P2:R2"/>
    <mergeCell ref="P3:P4"/>
    <mergeCell ref="Q3:Q4"/>
    <mergeCell ref="W2:W4"/>
    <mergeCell ref="X2:Z2"/>
    <mergeCell ref="X3:X4"/>
    <mergeCell ref="Y3:Y4"/>
    <mergeCell ref="Z3:Z4"/>
    <mergeCell ref="S4:S5"/>
    <mergeCell ref="K32:R33"/>
    <mergeCell ref="K65:R66"/>
    <mergeCell ref="S32:Z33"/>
    <mergeCell ref="U35:U37"/>
    <mergeCell ref="V35:V37"/>
    <mergeCell ref="W35:W37"/>
    <mergeCell ref="X35:Z35"/>
    <mergeCell ref="X36:X37"/>
    <mergeCell ref="Y36:Y37"/>
    <mergeCell ref="Z36:Z37"/>
    <mergeCell ref="S65:Z66"/>
    <mergeCell ref="K37:K38"/>
    <mergeCell ref="M35:M37"/>
    <mergeCell ref="N35:N37"/>
    <mergeCell ref="O35:O37"/>
    <mergeCell ref="P35:R35"/>
    <mergeCell ref="P36:P37"/>
    <mergeCell ref="Q36:Q37"/>
    <mergeCell ref="R36:R37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O10:O11"/>
    <mergeCell ref="P10:P11"/>
    <mergeCell ref="Q10:Q11"/>
    <mergeCell ref="R10:R11"/>
    <mergeCell ref="M12:M13"/>
    <mergeCell ref="N12:N13"/>
    <mergeCell ref="O12:O13"/>
    <mergeCell ref="P12:P13"/>
    <mergeCell ref="Q12:Q13"/>
    <mergeCell ref="R12:R13"/>
    <mergeCell ref="P45:P46"/>
    <mergeCell ref="Q45:Q46"/>
    <mergeCell ref="R45:R46"/>
    <mergeCell ref="K34:R34"/>
    <mergeCell ref="K12:K13"/>
    <mergeCell ref="L12:L13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S34:Z34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S37:S38"/>
    <mergeCell ref="X39:X40"/>
    <mergeCell ref="Y39:Y40"/>
    <mergeCell ref="Z39:Z40"/>
    <mergeCell ref="S41:S42"/>
    <mergeCell ref="T41:T42"/>
    <mergeCell ref="X6:X7"/>
    <mergeCell ref="Y6:Y7"/>
    <mergeCell ref="Z6:Z7"/>
    <mergeCell ref="S8:S9"/>
    <mergeCell ref="T8:T9"/>
    <mergeCell ref="U8:U9"/>
    <mergeCell ref="V8:V9"/>
    <mergeCell ref="W8:W9"/>
    <mergeCell ref="X8:X9"/>
    <mergeCell ref="Y8:Y9"/>
    <mergeCell ref="Z8:Z9"/>
    <mergeCell ref="S6:S7"/>
    <mergeCell ref="T6:T7"/>
    <mergeCell ref="U6:U7"/>
    <mergeCell ref="V6:V7"/>
    <mergeCell ref="W6:W7"/>
    <mergeCell ref="W12:W13"/>
    <mergeCell ref="X12:X13"/>
    <mergeCell ref="Y12:Y13"/>
    <mergeCell ref="Z12:Z13"/>
    <mergeCell ref="S10:S11"/>
    <mergeCell ref="T10:T11"/>
    <mergeCell ref="U10:U11"/>
    <mergeCell ref="V10:V11"/>
    <mergeCell ref="W10:W11"/>
    <mergeCell ref="X10:X11"/>
    <mergeCell ref="Y10:Y11"/>
    <mergeCell ref="Z10:Z11"/>
    <mergeCell ref="S12:S13"/>
    <mergeCell ref="T12:T13"/>
    <mergeCell ref="U12:U13"/>
    <mergeCell ref="V12:V13"/>
    <mergeCell ref="V41:V42"/>
    <mergeCell ref="W41:W42"/>
    <mergeCell ref="X41:X42"/>
    <mergeCell ref="Y41:Y42"/>
    <mergeCell ref="Z41:Z42"/>
    <mergeCell ref="S39:S40"/>
    <mergeCell ref="T39:T40"/>
    <mergeCell ref="U39:U40"/>
    <mergeCell ref="V39:V40"/>
    <mergeCell ref="W39:W40"/>
    <mergeCell ref="U41:U42"/>
    <mergeCell ref="X43:X44"/>
    <mergeCell ref="Y43:Y44"/>
    <mergeCell ref="Z43:Z44"/>
    <mergeCell ref="S45:S46"/>
    <mergeCell ref="T45:T46"/>
    <mergeCell ref="U45:U46"/>
    <mergeCell ref="V45:V46"/>
    <mergeCell ref="W45:W46"/>
    <mergeCell ref="X45:X46"/>
    <mergeCell ref="Y45:Y46"/>
    <mergeCell ref="Z45:Z46"/>
    <mergeCell ref="S43:S44"/>
    <mergeCell ref="T43:T44"/>
    <mergeCell ref="U43:U44"/>
    <mergeCell ref="V43:V44"/>
    <mergeCell ref="W43:W44"/>
  </mergeCells>
  <phoneticPr fontId="26" type="noConversion"/>
  <dataValidations count="1">
    <dataValidation type="list" allowBlank="1" showInputMessage="1" showErrorMessage="1" sqref="H7">
      <formula1>DBC_type_nieuw</formula1>
    </dataValidation>
  </dataValidations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C1" workbookViewId="0">
      <selection activeCell="P1" sqref="P1:Z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6" width="0" hidden="1" customWidth="1"/>
  </cols>
  <sheetData>
    <row r="1" spans="1:24" ht="43.35" customHeight="1">
      <c r="A1" s="298" t="s">
        <v>641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SUM(C6,C7,C20)</f>
        <v>514.44000000000005</v>
      </c>
      <c r="D4" s="14">
        <f>SUM(D6,D7,D20)</f>
        <v>1796.88</v>
      </c>
      <c r="E4" s="10"/>
      <c r="F4" s="14">
        <f>SUM(F6,F7,F20)</f>
        <v>51.444000000000003</v>
      </c>
      <c r="G4" s="14">
        <f>SUM(G6,G7,G20)</f>
        <v>179.68800000000002</v>
      </c>
      <c r="H4" s="175">
        <f>SUM(F4,G4)</f>
        <v>231.13200000000001</v>
      </c>
      <c r="I4" s="5">
        <f>F4/(Kengetallen!C4)</f>
        <v>2.5657855361596011</v>
      </c>
      <c r="J4" s="1">
        <v>84</v>
      </c>
      <c r="K4" s="15">
        <f>ROUNDUP(J4-I4,1)</f>
        <v>81.5</v>
      </c>
      <c r="L4" s="16">
        <f>D4-G4</f>
        <v>1617.192</v>
      </c>
      <c r="M4" t="b">
        <f>ISBLANK(F4)</f>
        <v>0</v>
      </c>
      <c r="W4" s="216">
        <f>SUM(W5:W68)</f>
        <v>51.444000000000003</v>
      </c>
      <c r="X4" s="216">
        <f>SUM(X5:X68)</f>
        <v>179.68800000000002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J40</v>
      </c>
      <c r="S5" t="str">
        <f t="shared" si="0"/>
        <v>Twee magneten/drukknoppen</v>
      </c>
      <c r="T5" s="221">
        <f t="shared" si="0"/>
        <v>142.4</v>
      </c>
      <c r="U5" s="221">
        <f t="shared" si="0"/>
        <v>280</v>
      </c>
      <c r="V5" s="223">
        <f t="shared" si="0"/>
        <v>0.1</v>
      </c>
      <c r="W5" s="221">
        <f t="shared" si="0"/>
        <v>14.240000000000002</v>
      </c>
      <c r="X5" s="221">
        <f t="shared" si="0"/>
        <v>28</v>
      </c>
    </row>
    <row r="6" spans="1:24" s="20" customFormat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>
        <f>C6*E6</f>
        <v>14.240000000000002</v>
      </c>
      <c r="G6" s="179">
        <f>D6*E6</f>
        <v>28</v>
      </c>
      <c r="H6" s="24"/>
      <c r="M6" s="20" t="b">
        <f t="shared" ref="M6:M68" si="1">ISBLANK(F6)</f>
        <v>0</v>
      </c>
      <c r="Q6" s="20">
        <f t="shared" ref="Q6:Q68" si="2">IF(F6&gt;0,ROW(),"")</f>
        <v>6</v>
      </c>
      <c r="R6" t="str">
        <f t="shared" si="0"/>
        <v>J41</v>
      </c>
      <c r="S6" t="str">
        <f t="shared" si="0"/>
        <v>Elke volgende magneet, drukknop</v>
      </c>
      <c r="T6" s="221">
        <f t="shared" si="0"/>
        <v>64.28</v>
      </c>
      <c r="U6" s="221">
        <f t="shared" si="0"/>
        <v>420</v>
      </c>
      <c r="V6" s="223">
        <f t="shared" si="0"/>
        <v>0.1</v>
      </c>
      <c r="W6" s="221">
        <f t="shared" si="0"/>
        <v>6.4280000000000008</v>
      </c>
      <c r="X6" s="221">
        <f t="shared" si="0"/>
        <v>42</v>
      </c>
    </row>
    <row r="7" spans="1:24" s="20" customFormat="1">
      <c r="A7" s="20" t="str">
        <f>Kengetallen!A6</f>
        <v>J41</v>
      </c>
      <c r="B7" s="2" t="str">
        <f>Kengetallen!B6</f>
        <v>Elke volgende magneet, drukknop</v>
      </c>
      <c r="C7" s="24">
        <f>Kengetallen!C6*2</f>
        <v>64.28</v>
      </c>
      <c r="D7" s="174">
        <f>Kengetallen!D6*3</f>
        <v>420</v>
      </c>
      <c r="E7" s="23">
        <f>Kengetallen!F6</f>
        <v>0.1</v>
      </c>
      <c r="F7" s="179">
        <f>C7*E7</f>
        <v>6.4280000000000008</v>
      </c>
      <c r="G7" s="179">
        <f>D7*E7</f>
        <v>42</v>
      </c>
      <c r="H7" s="24"/>
      <c r="M7" s="20" t="b">
        <f t="shared" si="1"/>
        <v>0</v>
      </c>
      <c r="Q7" s="20">
        <f t="shared" si="2"/>
        <v>7</v>
      </c>
      <c r="R7" t="str">
        <f t="shared" si="0"/>
        <v>J51</v>
      </c>
      <c r="S7" t="str">
        <f t="shared" si="0"/>
        <v>Onder-klikgebit, 4 implantaten onderkaak met drukknoppen</v>
      </c>
      <c r="T7" s="221">
        <f t="shared" si="0"/>
        <v>307.76</v>
      </c>
      <c r="U7" s="221">
        <f t="shared" si="0"/>
        <v>1096.8800000000001</v>
      </c>
      <c r="V7" s="223">
        <f t="shared" si="0"/>
        <v>0.1</v>
      </c>
      <c r="W7" s="221">
        <f t="shared" si="0"/>
        <v>30.776</v>
      </c>
      <c r="X7" s="221">
        <f t="shared" si="0"/>
        <v>109.68800000000002</v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>
        <f>C20*E20</f>
        <v>30.776</v>
      </c>
      <c r="G20" s="179">
        <f>D20*E20</f>
        <v>109.68800000000002</v>
      </c>
      <c r="H20" s="24"/>
      <c r="M20" s="20" t="b">
        <f t="shared" si="1"/>
        <v>0</v>
      </c>
      <c r="Q20" s="20">
        <f t="shared" si="2"/>
        <v>20</v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AJ1" workbookViewId="0">
      <selection sqref="A1:B1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6" width="0" hidden="1" customWidth="1"/>
  </cols>
  <sheetData>
    <row r="1" spans="1:24" ht="43.35" customHeight="1">
      <c r="A1" s="298" t="s">
        <v>554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96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28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SUM(C17,C37)</f>
        <v>385.85</v>
      </c>
      <c r="D4" s="14">
        <f>SUM(D17,D37)</f>
        <v>728.78</v>
      </c>
      <c r="E4" s="10"/>
      <c r="F4" s="14">
        <f>SUM(F17,F37)</f>
        <v>38.585000000000001</v>
      </c>
      <c r="G4" s="14">
        <f>SUM(G17,G37)</f>
        <v>72.878</v>
      </c>
      <c r="H4" s="175">
        <f>SUM(F4,G4)</f>
        <v>111.46299999999999</v>
      </c>
      <c r="I4" s="5">
        <f>F4/(Kengetallen!C4)</f>
        <v>1.9244389027431421</v>
      </c>
      <c r="J4" s="1">
        <v>84</v>
      </c>
      <c r="K4" s="15">
        <f>ROUNDUP(J4-I4,1)</f>
        <v>82.1</v>
      </c>
      <c r="L4" s="16">
        <f>D4-G4</f>
        <v>655.90199999999993</v>
      </c>
      <c r="M4" t="b">
        <f>ISBLANK(F4)</f>
        <v>0</v>
      </c>
      <c r="W4" s="216">
        <f>SUM(W5:W68)</f>
        <v>38.585000000000001</v>
      </c>
      <c r="X4" s="216">
        <f>SUM(X5:X68)</f>
        <v>72.878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J51</v>
      </c>
      <c r="S5" t="str">
        <f t="shared" si="0"/>
        <v>Onder-klikgebit, 2 implantaten onderkaak met staaf</v>
      </c>
      <c r="T5" s="221">
        <f t="shared" si="0"/>
        <v>307.76</v>
      </c>
      <c r="U5" s="221">
        <f t="shared" si="0"/>
        <v>728.78</v>
      </c>
      <c r="V5" s="223">
        <f t="shared" si="0"/>
        <v>0.1</v>
      </c>
      <c r="W5" s="221">
        <f t="shared" si="0"/>
        <v>30.776</v>
      </c>
      <c r="X5" s="221">
        <f t="shared" si="0"/>
        <v>72.878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J57</v>
      </c>
      <c r="S6" t="str">
        <f t="shared" si="0"/>
        <v>Toeslag vervangings- klikgebit op bestaande stegconstructie tussen 2 implantaten</v>
      </c>
      <c r="T6" s="221">
        <f t="shared" si="0"/>
        <v>78.09</v>
      </c>
      <c r="U6" s="221">
        <f t="shared" si="0"/>
        <v>0</v>
      </c>
      <c r="V6" s="223">
        <f t="shared" si="0"/>
        <v>0.1</v>
      </c>
      <c r="W6" s="221">
        <f t="shared" si="0"/>
        <v>7.8090000000000011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27"/>
      <c r="E8" s="23">
        <f>Kengetallen!F7</f>
        <v>0.1</v>
      </c>
      <c r="F8" s="179"/>
      <c r="G8" s="179">
        <f>D8*E8</f>
        <v>0</v>
      </c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>
        <f>C17*E17</f>
        <v>30.776</v>
      </c>
      <c r="G17" s="179">
        <f>D17*E17</f>
        <v>72.878</v>
      </c>
      <c r="H17" s="24"/>
      <c r="M17" s="20" t="b">
        <f t="shared" si="1"/>
        <v>0</v>
      </c>
      <c r="Q17" s="20">
        <f t="shared" si="2"/>
        <v>17</v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>
        <f>C37*E37</f>
        <v>7.8090000000000011</v>
      </c>
      <c r="G37" s="179">
        <f>D37*E37</f>
        <v>0</v>
      </c>
      <c r="H37" s="24"/>
      <c r="M37" s="20" t="b">
        <f t="shared" si="1"/>
        <v>0</v>
      </c>
      <c r="Q37" s="20">
        <f t="shared" si="2"/>
        <v>37</v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C1" workbookViewId="0">
      <selection activeCell="I69" sqref="I69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5" width="0" hidden="1" customWidth="1"/>
  </cols>
  <sheetData>
    <row r="1" spans="1:24" ht="43.35" customHeight="1">
      <c r="A1" s="298" t="s">
        <v>642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SUM(C19)</f>
        <v>307.76</v>
      </c>
      <c r="D4" s="14">
        <f>SUM(D19)</f>
        <v>818.44</v>
      </c>
      <c r="E4" s="10"/>
      <c r="F4" s="14">
        <f>SUM(F19)</f>
        <v>30.776</v>
      </c>
      <c r="G4" s="14">
        <f>SUM(G19)</f>
        <v>81.844000000000008</v>
      </c>
      <c r="H4" s="175">
        <f>SUM(F4,G4)</f>
        <v>112.62</v>
      </c>
      <c r="I4" s="5">
        <f>F4/(Kengetallen!C4)</f>
        <v>1.5349625935162095</v>
      </c>
      <c r="J4" s="1">
        <v>84</v>
      </c>
      <c r="K4" s="15">
        <f>ROUNDUP(J4-I4,1)</f>
        <v>82.5</v>
      </c>
      <c r="L4" s="16">
        <f>D4-G4</f>
        <v>736.596</v>
      </c>
      <c r="M4" t="b">
        <f>ISBLANK(F4)</f>
        <v>0</v>
      </c>
      <c r="W4" s="216">
        <f>SUM(W5:W68)</f>
        <v>30.776</v>
      </c>
      <c r="X4" s="216">
        <f>SUM(X5:X68)</f>
        <v>81.844000000000008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J51</v>
      </c>
      <c r="S5" t="str">
        <f t="shared" si="0"/>
        <v>Onder-klikgebit, 2 implantaten onderkaak met drukknoppen</v>
      </c>
      <c r="T5" s="221">
        <f t="shared" si="0"/>
        <v>307.76</v>
      </c>
      <c r="U5" s="221">
        <f t="shared" si="0"/>
        <v>818.44</v>
      </c>
      <c r="V5" s="223">
        <f t="shared" si="0"/>
        <v>0.1</v>
      </c>
      <c r="W5" s="221">
        <f t="shared" si="0"/>
        <v>30.776</v>
      </c>
      <c r="X5" s="221">
        <f t="shared" si="0"/>
        <v>81.844000000000008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27"/>
      <c r="E6" s="23">
        <f>Kengetallen!F5</f>
        <v>0.1</v>
      </c>
      <c r="F6" s="179"/>
      <c r="G6" s="179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/>
      </c>
      <c r="S6" t="str">
        <f t="shared" si="0"/>
        <v/>
      </c>
      <c r="T6" s="221" t="str">
        <f t="shared" si="0"/>
        <v/>
      </c>
      <c r="U6" s="221" t="str">
        <f t="shared" si="0"/>
        <v/>
      </c>
      <c r="V6" s="223" t="str">
        <f t="shared" si="0"/>
        <v/>
      </c>
      <c r="W6" s="221" t="str">
        <f t="shared" si="0"/>
        <v/>
      </c>
      <c r="X6" s="221" t="str">
        <f t="shared" si="0"/>
        <v/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179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>
        <f>C19*E19</f>
        <v>30.776</v>
      </c>
      <c r="G19" s="179">
        <f>D19*E19</f>
        <v>81.844000000000008</v>
      </c>
      <c r="H19" s="24"/>
      <c r="M19" s="20" t="b">
        <f t="shared" si="1"/>
        <v>0</v>
      </c>
      <c r="Q19" s="20">
        <f t="shared" si="2"/>
        <v>19</v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555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28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SUM(C18,C38)</f>
        <v>408.82</v>
      </c>
      <c r="D4" s="14">
        <f>SUM(D18,D38)</f>
        <v>917.56</v>
      </c>
      <c r="E4" s="10"/>
      <c r="F4" s="14">
        <f>SUM(F18,F38)</f>
        <v>40.882000000000005</v>
      </c>
      <c r="G4" s="14">
        <f>SUM(G18,G38)</f>
        <v>91.756</v>
      </c>
      <c r="H4" s="175">
        <f>SUM(F4,G4)</f>
        <v>132.63800000000001</v>
      </c>
      <c r="I4" s="5">
        <f>F4/(Kengetallen!C4)</f>
        <v>2.0390024937655862</v>
      </c>
      <c r="J4" s="1">
        <v>84</v>
      </c>
      <c r="K4" s="15">
        <f>ROUNDUP(J4-I4,1)</f>
        <v>82</v>
      </c>
      <c r="L4" s="16">
        <f>D4-G4</f>
        <v>825.80399999999997</v>
      </c>
      <c r="M4" t="b">
        <f>ISBLANK(F4)</f>
        <v>0</v>
      </c>
      <c r="W4" s="216">
        <f>SUM(W5:W68)</f>
        <v>40.882000000000005</v>
      </c>
      <c r="X4" s="216">
        <f>SUM(X5:X68)</f>
        <v>91.756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J51</v>
      </c>
      <c r="S5" t="str">
        <f t="shared" si="0"/>
        <v>Onder-klikgebit, 4 implantaten onderkaak met staaf</v>
      </c>
      <c r="T5" s="221">
        <f t="shared" si="0"/>
        <v>307.76</v>
      </c>
      <c r="U5" s="221">
        <f t="shared" si="0"/>
        <v>917.56</v>
      </c>
      <c r="V5" s="223">
        <f t="shared" si="0"/>
        <v>0.1</v>
      </c>
      <c r="W5" s="221">
        <f t="shared" si="0"/>
        <v>30.776</v>
      </c>
      <c r="X5" s="221">
        <f t="shared" si="0"/>
        <v>91.756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J58</v>
      </c>
      <c r="S6" t="str">
        <f t="shared" si="0"/>
        <v>Toeslag vervangings- klikgebit op bestaande stegcontructie tussen 3 of 4 implantaten</v>
      </c>
      <c r="T6" s="221">
        <f t="shared" si="0"/>
        <v>101.06</v>
      </c>
      <c r="U6" s="221">
        <f t="shared" si="0"/>
        <v>0</v>
      </c>
      <c r="V6" s="223">
        <f t="shared" si="0"/>
        <v>0.1</v>
      </c>
      <c r="W6" s="221">
        <f t="shared" si="0"/>
        <v>10.106000000000002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27"/>
      <c r="E8" s="23">
        <f>Kengetallen!F7</f>
        <v>0.1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27"/>
      <c r="E9" s="23">
        <f>Kengetallen!F8</f>
        <v>0.1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>
        <f>C18*E18</f>
        <v>30.776</v>
      </c>
      <c r="G18" s="179">
        <f>D18*E18</f>
        <v>91.756</v>
      </c>
      <c r="H18" s="24"/>
      <c r="M18" s="20" t="b">
        <f t="shared" si="1"/>
        <v>0</v>
      </c>
      <c r="Q18" s="20">
        <f t="shared" si="2"/>
        <v>18</v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>
        <f>C38*E38</f>
        <v>10.106000000000002</v>
      </c>
      <c r="G38" s="179">
        <f>D38*E38</f>
        <v>0</v>
      </c>
      <c r="H38" s="24"/>
      <c r="M38" s="20" t="b">
        <f t="shared" si="1"/>
        <v>0</v>
      </c>
      <c r="Q38" s="20">
        <f t="shared" si="2"/>
        <v>38</v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sqref="A1:B1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5" width="0" hidden="1" customWidth="1"/>
  </cols>
  <sheetData>
    <row r="1" spans="1:24" ht="43.35" customHeight="1">
      <c r="A1" s="298" t="s">
        <v>643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SUM(C6,C7,C20)</f>
        <v>482.3</v>
      </c>
      <c r="D4" s="14">
        <f>SUM(D6,D7,D20)</f>
        <v>1096.8800000000001</v>
      </c>
      <c r="E4" s="10"/>
      <c r="F4" s="14">
        <f>SUM(F20)</f>
        <v>30.776</v>
      </c>
      <c r="G4" s="14">
        <f>SUM(G20)</f>
        <v>109.68800000000002</v>
      </c>
      <c r="H4" s="175">
        <f>SUM(F4,G4)</f>
        <v>140.46400000000003</v>
      </c>
      <c r="I4" s="5">
        <f>F4/(Kengetallen!C4)</f>
        <v>1.5349625935162095</v>
      </c>
      <c r="J4" s="1">
        <v>84</v>
      </c>
      <c r="K4" s="15">
        <f>ROUNDUP(J4-I4,1)</f>
        <v>82.5</v>
      </c>
      <c r="L4" s="16">
        <f>D4-G4</f>
        <v>987.19200000000012</v>
      </c>
      <c r="M4" t="b">
        <f>ISBLANK(F4)</f>
        <v>0</v>
      </c>
      <c r="W4" s="216">
        <f>SUM(W5:W68)</f>
        <v>30.776</v>
      </c>
      <c r="X4" s="216">
        <f>SUM(X5:X68)</f>
        <v>109.68800000000002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J51</v>
      </c>
      <c r="S5" t="str">
        <f t="shared" si="0"/>
        <v>Onder-klikgebit, 4 implantaten onderkaak met drukknoppen</v>
      </c>
      <c r="T5" s="221">
        <f t="shared" si="0"/>
        <v>307.76</v>
      </c>
      <c r="U5" s="221">
        <f t="shared" si="0"/>
        <v>1096.8800000000001</v>
      </c>
      <c r="V5" s="223">
        <f t="shared" si="0"/>
        <v>0.1</v>
      </c>
      <c r="W5" s="221">
        <f t="shared" si="0"/>
        <v>30.776</v>
      </c>
      <c r="X5" s="221">
        <f t="shared" si="0"/>
        <v>109.68800000000002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27"/>
      <c r="E6" s="23">
        <f>Kengetallen!F5</f>
        <v>0.1</v>
      </c>
      <c r="F6" s="179"/>
      <c r="G6" s="179"/>
      <c r="H6" s="24"/>
      <c r="M6" s="20" t="b">
        <v>1</v>
      </c>
      <c r="Q6" s="20" t="str">
        <f t="shared" ref="Q6:Q68" si="1">IF(F6&gt;0,ROW(),"")</f>
        <v/>
      </c>
      <c r="R6" t="str">
        <f t="shared" si="0"/>
        <v/>
      </c>
      <c r="S6" t="str">
        <f t="shared" si="0"/>
        <v/>
      </c>
      <c r="T6" s="221" t="str">
        <f t="shared" si="0"/>
        <v/>
      </c>
      <c r="U6" s="221" t="str">
        <f t="shared" si="0"/>
        <v/>
      </c>
      <c r="V6" s="223" t="str">
        <f t="shared" si="0"/>
        <v/>
      </c>
      <c r="W6" s="221" t="str">
        <f t="shared" si="0"/>
        <v/>
      </c>
      <c r="X6" s="221" t="str">
        <f t="shared" si="0"/>
        <v/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27"/>
      <c r="E7" s="23">
        <f>Kengetallen!F6</f>
        <v>0.1</v>
      </c>
      <c r="F7" s="179"/>
      <c r="G7" s="179"/>
      <c r="H7" s="24"/>
      <c r="M7" s="20" t="b">
        <v>1</v>
      </c>
      <c r="Q7" s="20" t="str">
        <f t="shared" si="1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H8" s="24"/>
      <c r="M8" s="20" t="b">
        <f t="shared" ref="M8:M68" si="2">ISBLANK(F8)</f>
        <v>1</v>
      </c>
      <c r="Q8" s="20" t="str">
        <f t="shared" si="1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179"/>
      <c r="H9" s="24"/>
      <c r="M9" s="20" t="b">
        <f t="shared" si="2"/>
        <v>1</v>
      </c>
      <c r="Q9" s="20" t="str">
        <f t="shared" si="1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2"/>
        <v>1</v>
      </c>
      <c r="Q10" s="20" t="str">
        <f t="shared" si="1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2"/>
        <v>1</v>
      </c>
      <c r="Q11" s="20" t="str">
        <f t="shared" si="1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2"/>
        <v>1</v>
      </c>
      <c r="Q12" s="20" t="str">
        <f t="shared" si="1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2"/>
        <v>1</v>
      </c>
      <c r="Q13" s="20" t="str">
        <f t="shared" si="1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2"/>
        <v>1</v>
      </c>
      <c r="Q14" s="20" t="str">
        <f t="shared" si="1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2"/>
        <v>1</v>
      </c>
      <c r="Q15" s="20" t="str">
        <f t="shared" si="1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2"/>
        <v>1</v>
      </c>
      <c r="Q16" s="20" t="str">
        <f t="shared" si="1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2"/>
        <v>1</v>
      </c>
      <c r="Q17" s="20" t="str">
        <f t="shared" si="1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2"/>
        <v>1</v>
      </c>
      <c r="Q18" s="20" t="str">
        <f t="shared" si="1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2"/>
        <v>1</v>
      </c>
      <c r="Q19" s="20" t="str">
        <f t="shared" si="1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>
        <f>C20*E20</f>
        <v>30.776</v>
      </c>
      <c r="G20" s="179">
        <f>D20*E20</f>
        <v>109.68800000000002</v>
      </c>
      <c r="H20" s="24"/>
      <c r="M20" s="20" t="b">
        <f t="shared" si="2"/>
        <v>0</v>
      </c>
      <c r="Q20" s="20">
        <f t="shared" si="1"/>
        <v>20</v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2"/>
        <v>1</v>
      </c>
      <c r="Q21" s="20" t="str">
        <f t="shared" si="1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2"/>
        <v>1</v>
      </c>
      <c r="Q22" s="20" t="str">
        <f t="shared" si="1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2"/>
        <v>1</v>
      </c>
      <c r="Q23" s="20" t="str">
        <f t="shared" si="1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2"/>
        <v>1</v>
      </c>
      <c r="Q24" s="20" t="str">
        <f t="shared" si="1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2"/>
        <v>1</v>
      </c>
      <c r="Q25" s="20" t="str">
        <f t="shared" si="1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2"/>
        <v>1</v>
      </c>
      <c r="Q26" s="20" t="str">
        <f t="shared" si="1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2"/>
        <v>1</v>
      </c>
      <c r="Q27" s="20" t="str">
        <f t="shared" si="1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2"/>
        <v>1</v>
      </c>
      <c r="Q28" s="20" t="str">
        <f t="shared" si="1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2"/>
        <v>1</v>
      </c>
      <c r="Q29" s="20" t="str">
        <f t="shared" si="1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2"/>
        <v>1</v>
      </c>
      <c r="Q30" s="20" t="str">
        <f t="shared" si="1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2"/>
        <v>1</v>
      </c>
      <c r="Q31" s="20" t="str">
        <f t="shared" si="1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2"/>
        <v>1</v>
      </c>
      <c r="Q32" s="20" t="str">
        <f t="shared" si="1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2"/>
        <v>1</v>
      </c>
      <c r="Q33" s="20" t="str">
        <f t="shared" si="1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2"/>
        <v>1</v>
      </c>
      <c r="Q34" s="20" t="str">
        <f t="shared" si="1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2"/>
        <v>1</v>
      </c>
      <c r="Q35" s="20" t="str">
        <f t="shared" si="1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2"/>
        <v>1</v>
      </c>
      <c r="Q36" s="20" t="str">
        <f t="shared" si="1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2"/>
        <v>1</v>
      </c>
      <c r="Q37" s="20" t="str">
        <f t="shared" si="1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2"/>
        <v>1</v>
      </c>
      <c r="Q38" s="20" t="str">
        <f t="shared" si="1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2"/>
        <v>1</v>
      </c>
      <c r="Q39" s="20" t="str">
        <f t="shared" si="1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2"/>
        <v>1</v>
      </c>
      <c r="Q40" s="20" t="str">
        <f t="shared" si="1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2"/>
        <v>1</v>
      </c>
      <c r="Q41" s="20" t="str">
        <f t="shared" si="1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2"/>
        <v>1</v>
      </c>
      <c r="Q42" s="20" t="str">
        <f t="shared" si="1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2"/>
        <v>1</v>
      </c>
      <c r="Q43" s="20" t="str">
        <f t="shared" si="1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2"/>
        <v>1</v>
      </c>
      <c r="Q44" s="20" t="str">
        <f t="shared" si="1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2"/>
        <v>1</v>
      </c>
      <c r="Q45" s="20" t="str">
        <f t="shared" si="1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2"/>
        <v>1</v>
      </c>
      <c r="Q46" s="20" t="str">
        <f t="shared" si="1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2"/>
        <v>1</v>
      </c>
      <c r="Q47" s="20" t="str">
        <f t="shared" si="1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2"/>
        <v>1</v>
      </c>
      <c r="Q48" s="20" t="str">
        <f t="shared" si="1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2"/>
        <v>1</v>
      </c>
      <c r="Q49" s="20" t="str">
        <f t="shared" si="1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2"/>
        <v>1</v>
      </c>
      <c r="Q50" s="20" t="str">
        <f t="shared" si="1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2"/>
        <v>1</v>
      </c>
      <c r="Q51" s="20" t="str">
        <f t="shared" si="1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2"/>
        <v>1</v>
      </c>
      <c r="Q52" s="20" t="str">
        <f t="shared" si="1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2"/>
        <v>1</v>
      </c>
      <c r="Q53" s="20" t="str">
        <f t="shared" si="1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2"/>
        <v>1</v>
      </c>
      <c r="Q54" s="20" t="str">
        <f t="shared" si="1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2"/>
        <v>1</v>
      </c>
      <c r="Q55" s="20" t="str">
        <f t="shared" si="1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2"/>
        <v>1</v>
      </c>
      <c r="Q56" s="20" t="str">
        <f t="shared" si="1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2"/>
        <v>1</v>
      </c>
      <c r="Q57" s="20" t="str">
        <f t="shared" si="1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2"/>
        <v>1</v>
      </c>
      <c r="Q58" s="20" t="str">
        <f t="shared" si="1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2"/>
        <v>1</v>
      </c>
      <c r="Q59" s="20" t="str">
        <f t="shared" si="1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2"/>
        <v>1</v>
      </c>
      <c r="Q60" s="20" t="str">
        <f t="shared" si="1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2"/>
        <v>1</v>
      </c>
      <c r="Q61" s="20" t="str">
        <f t="shared" si="1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2"/>
        <v>1</v>
      </c>
      <c r="Q62" s="20" t="str">
        <f t="shared" si="1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2"/>
        <v>1</v>
      </c>
      <c r="Q63" s="20" t="str">
        <f t="shared" si="1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2"/>
        <v>1</v>
      </c>
      <c r="Q64" s="20" t="str">
        <f t="shared" si="1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2"/>
        <v>1</v>
      </c>
      <c r="Q65" s="20" t="str">
        <f t="shared" si="1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2"/>
        <v>1</v>
      </c>
      <c r="Q66" s="20" t="str">
        <f t="shared" si="1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2"/>
        <v>1</v>
      </c>
      <c r="Q67" s="20" t="str">
        <f t="shared" si="1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2"/>
        <v>1</v>
      </c>
      <c r="Q68" s="20" t="str">
        <f t="shared" si="1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556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SUM(C8,C9,C24)</f>
        <v>615.53</v>
      </c>
      <c r="D4" s="14">
        <f>SUM(D8,D9,D24)</f>
        <v>2881.72</v>
      </c>
      <c r="E4" s="10"/>
      <c r="F4" s="14">
        <f>SUM(F8,F9,F24)</f>
        <v>49.242400000000004</v>
      </c>
      <c r="G4" s="14">
        <f>SUM(G8,G9,G24)</f>
        <v>230.5376</v>
      </c>
      <c r="H4" s="175">
        <f>SUM(F4,G4)</f>
        <v>279.77999999999997</v>
      </c>
      <c r="I4" s="5">
        <f>F4/(Kengetallen!C4)</f>
        <v>2.4559800498753117</v>
      </c>
      <c r="J4" s="1">
        <v>84</v>
      </c>
      <c r="K4" s="15">
        <f>ROUNDUP(J4-I4,1)</f>
        <v>81.599999999999994</v>
      </c>
      <c r="L4" s="16">
        <f>D4-G4</f>
        <v>2651.1823999999997</v>
      </c>
      <c r="M4" t="b">
        <f>ISBLANK(F4)</f>
        <v>0</v>
      </c>
      <c r="W4" s="216">
        <f>SUM(W5:W68)</f>
        <v>49.242400000000004</v>
      </c>
      <c r="X4" s="216">
        <f>SUM(X5:X68)</f>
        <v>230.5376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J42</v>
      </c>
      <c r="S5" t="str">
        <f t="shared" si="0"/>
        <v>Staaf tussen twee implantaten</v>
      </c>
      <c r="T5" s="221">
        <f t="shared" si="0"/>
        <v>188.33</v>
      </c>
      <c r="U5" s="221">
        <f t="shared" si="0"/>
        <v>1024.58</v>
      </c>
      <c r="V5" s="223">
        <f t="shared" si="0"/>
        <v>0.08</v>
      </c>
      <c r="W5" s="221">
        <f t="shared" si="0"/>
        <v>15.066400000000002</v>
      </c>
      <c r="X5" s="221">
        <f t="shared" si="0"/>
        <v>81.966399999999993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J43</v>
      </c>
      <c r="S6" t="str">
        <f t="shared" si="0"/>
        <v>Elke volgende staaf tussen implantaten in dezelfde kaak</v>
      </c>
      <c r="T6" s="221">
        <f t="shared" si="0"/>
        <v>119.44</v>
      </c>
      <c r="U6" s="221">
        <f t="shared" si="0"/>
        <v>939.58</v>
      </c>
      <c r="V6" s="223">
        <f t="shared" si="0"/>
        <v>0.08</v>
      </c>
      <c r="W6" s="221">
        <f t="shared" si="0"/>
        <v>9.5551999999999992</v>
      </c>
      <c r="X6" s="221">
        <f t="shared" si="0"/>
        <v>75.16640000000001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>J52</v>
      </c>
      <c r="S7" t="str">
        <f t="shared" si="0"/>
        <v>Boven-klikgebit, 4 implantaten bovenkaak met staaf</v>
      </c>
      <c r="T7" s="221">
        <f t="shared" si="0"/>
        <v>307.76</v>
      </c>
      <c r="U7" s="221">
        <f t="shared" si="0"/>
        <v>917.56</v>
      </c>
      <c r="V7" s="223">
        <f t="shared" si="0"/>
        <v>0.08</v>
      </c>
      <c r="W7" s="221">
        <f t="shared" si="0"/>
        <v>24.620799999999999</v>
      </c>
      <c r="X7" s="221">
        <f t="shared" si="0"/>
        <v>73.404799999999994</v>
      </c>
    </row>
    <row r="8" spans="1:24" s="20" customFormat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Kengetallen!G7</f>
        <v>0.08</v>
      </c>
      <c r="F8" s="179">
        <f>C8*E8</f>
        <v>15.066400000000002</v>
      </c>
      <c r="G8" s="179">
        <f>D8*E8</f>
        <v>81.966399999999993</v>
      </c>
      <c r="H8" s="24"/>
      <c r="M8" s="20" t="b">
        <f t="shared" si="1"/>
        <v>0</v>
      </c>
      <c r="Q8" s="20">
        <f t="shared" si="2"/>
        <v>8</v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Kengetallen!C8*2</f>
        <v>119.44</v>
      </c>
      <c r="D9" s="174">
        <f>Kengetallen!D8*2</f>
        <v>939.58</v>
      </c>
      <c r="E9" s="23">
        <f>Kengetallen!G8</f>
        <v>0.08</v>
      </c>
      <c r="F9" s="179">
        <f>C9*E9</f>
        <v>9.5551999999999992</v>
      </c>
      <c r="G9" s="179">
        <f>D9*E9</f>
        <v>75.16640000000001</v>
      </c>
      <c r="H9" s="24"/>
      <c r="M9" s="20" t="b">
        <f t="shared" si="1"/>
        <v>0</v>
      </c>
      <c r="Q9" s="20">
        <f t="shared" si="2"/>
        <v>9</v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>
        <f>C24*E24</f>
        <v>24.620799999999999</v>
      </c>
      <c r="G24" s="179">
        <f>D24*E24</f>
        <v>73.404799999999994</v>
      </c>
      <c r="H24" s="24"/>
      <c r="M24" s="20" t="b">
        <f t="shared" si="1"/>
        <v>0</v>
      </c>
      <c r="Q24" s="20">
        <f t="shared" si="2"/>
        <v>24</v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557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SUM(C25,C38)</f>
        <v>408.82</v>
      </c>
      <c r="D4" s="14">
        <f>SUM(D25,D38)</f>
        <v>1047.56</v>
      </c>
      <c r="E4" s="10"/>
      <c r="F4" s="14">
        <f>SUM(F25,F38)</f>
        <v>34.726799999999997</v>
      </c>
      <c r="G4" s="14">
        <f>SUM(G25,G38)</f>
        <v>83.8048</v>
      </c>
      <c r="H4" s="175">
        <f>SUM(F4,G4)</f>
        <v>118.5316</v>
      </c>
      <c r="I4" s="5">
        <f>F4/(Kengetallen!C4)</f>
        <v>1.7320099750623439</v>
      </c>
      <c r="J4" s="1">
        <v>84</v>
      </c>
      <c r="K4" s="15">
        <f>ROUNDUP(J4-I4,1)</f>
        <v>82.3</v>
      </c>
      <c r="L4" s="16">
        <f>D4-G4</f>
        <v>963.75519999999995</v>
      </c>
      <c r="M4" t="b">
        <f>ISBLANK(F4)</f>
        <v>0</v>
      </c>
      <c r="W4" s="216">
        <f>SUM(W5:W68)</f>
        <v>34.726799999999997</v>
      </c>
      <c r="X4" s="216">
        <f>SUM(X5:X68)</f>
        <v>83.8048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J52</v>
      </c>
      <c r="S5" t="str">
        <f t="shared" si="0"/>
        <v>Boven-klikgebit, 4 implantaten bovenkaak met staaf en metaal versteviging</v>
      </c>
      <c r="T5" s="221">
        <f t="shared" si="0"/>
        <v>307.76</v>
      </c>
      <c r="U5" s="221">
        <f t="shared" si="0"/>
        <v>1047.56</v>
      </c>
      <c r="V5" s="223">
        <f t="shared" si="0"/>
        <v>0.08</v>
      </c>
      <c r="W5" s="221">
        <f t="shared" si="0"/>
        <v>24.620799999999999</v>
      </c>
      <c r="X5" s="221">
        <f t="shared" si="0"/>
        <v>83.8048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J58</v>
      </c>
      <c r="S6" t="str">
        <f t="shared" si="0"/>
        <v>Toeslag vervangings- klikgebit op bestaande stegcontructie tussen 3 of 4 implantaten</v>
      </c>
      <c r="T6" s="221">
        <f t="shared" si="0"/>
        <v>101.06</v>
      </c>
      <c r="U6" s="221">
        <f t="shared" si="0"/>
        <v>0</v>
      </c>
      <c r="V6" s="223">
        <f t="shared" si="0"/>
        <v>0.1</v>
      </c>
      <c r="W6" s="221">
        <f t="shared" si="0"/>
        <v>10.106000000000002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Kengetallen!G7</f>
        <v>0.08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Kengetallen!C8*2</f>
        <v>119.44</v>
      </c>
      <c r="D9" s="174">
        <f>Kengetallen!D8*2</f>
        <v>939.58</v>
      </c>
      <c r="E9" s="23">
        <f>Kengetallen!G8</f>
        <v>0.08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179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>
        <f>C25*E25</f>
        <v>24.620799999999999</v>
      </c>
      <c r="G25" s="179">
        <f>D25*E25</f>
        <v>83.8048</v>
      </c>
      <c r="H25" s="24"/>
      <c r="M25" s="20" t="b">
        <f t="shared" si="1"/>
        <v>0</v>
      </c>
      <c r="Q25" s="20">
        <f t="shared" si="2"/>
        <v>25</v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Kengetallen!G34</f>
        <v>0.08</v>
      </c>
      <c r="F35" s="179"/>
      <c r="G35" s="179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>
        <f>C38*E38</f>
        <v>10.106000000000002</v>
      </c>
      <c r="G38" s="179">
        <f>D38*E38</f>
        <v>0</v>
      </c>
      <c r="H38" s="24"/>
      <c r="M38" s="20" t="b">
        <f t="shared" si="1"/>
        <v>0</v>
      </c>
      <c r="Q38" s="20">
        <f t="shared" si="2"/>
        <v>38</v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558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SUM(C24,C38)</f>
        <v>408.82</v>
      </c>
      <c r="D4" s="14">
        <f>SUM(D24,D38)</f>
        <v>917.56</v>
      </c>
      <c r="E4" s="10"/>
      <c r="F4" s="14">
        <f>SUM(F24,F38)</f>
        <v>32.705599999999997</v>
      </c>
      <c r="G4" s="14">
        <f>SUM(G24,G38)</f>
        <v>73.404799999999994</v>
      </c>
      <c r="H4" s="175">
        <f>SUM(F4,G4)</f>
        <v>106.1104</v>
      </c>
      <c r="I4" s="5">
        <f>F4/(Kengetallen!C4)</f>
        <v>1.6312019950124685</v>
      </c>
      <c r="J4" s="1">
        <v>84</v>
      </c>
      <c r="K4" s="15">
        <f>ROUNDUP(J4-I4,2)</f>
        <v>82.37</v>
      </c>
      <c r="L4" s="16">
        <f>D4-G4</f>
        <v>844.15519999999992</v>
      </c>
      <c r="M4" t="b">
        <f>ISBLANK(F4)</f>
        <v>0</v>
      </c>
      <c r="W4" s="216">
        <f>SUM(W5:W68)</f>
        <v>32.705599999999997</v>
      </c>
      <c r="X4" s="216">
        <f>SUM(X5:X68)</f>
        <v>73.404799999999994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J52</v>
      </c>
      <c r="S5" t="str">
        <f t="shared" si="0"/>
        <v>Boven-klikgebit, 4 implantaten bovenkaak met staaf</v>
      </c>
      <c r="T5" s="221">
        <f t="shared" si="0"/>
        <v>307.76</v>
      </c>
      <c r="U5" s="221">
        <f t="shared" si="0"/>
        <v>917.56</v>
      </c>
      <c r="V5" s="223">
        <f t="shared" si="0"/>
        <v>0.08</v>
      </c>
      <c r="W5" s="221">
        <f t="shared" si="0"/>
        <v>24.620799999999999</v>
      </c>
      <c r="X5" s="221">
        <f t="shared" si="0"/>
        <v>73.404799999999994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J58</v>
      </c>
      <c r="S6" t="str">
        <f t="shared" si="0"/>
        <v>Toeslag vervangings- klikgebit op bestaande stegcontructie tussen 3 of 4 implantaten</v>
      </c>
      <c r="T6" s="221">
        <f t="shared" si="0"/>
        <v>101.06</v>
      </c>
      <c r="U6" s="221">
        <f t="shared" si="0"/>
        <v>0</v>
      </c>
      <c r="V6" s="223">
        <f t="shared" si="0"/>
        <v>0.08</v>
      </c>
      <c r="W6" s="221">
        <f t="shared" si="0"/>
        <v>8.0847999999999995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Kengetallen!G7</f>
        <v>0.08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Kengetallen!C8*2</f>
        <v>119.44</v>
      </c>
      <c r="D9" s="174">
        <f>Kengetallen!D8*2</f>
        <v>939.58</v>
      </c>
      <c r="E9" s="23">
        <f>Kengetallen!G8</f>
        <v>0.08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>
        <f>C24*E24</f>
        <v>24.620799999999999</v>
      </c>
      <c r="G24" s="179">
        <f>D24*E24</f>
        <v>73.404799999999994</v>
      </c>
      <c r="H24" s="24"/>
      <c r="M24" s="20" t="b">
        <f t="shared" si="1"/>
        <v>0</v>
      </c>
      <c r="Q24" s="20">
        <f t="shared" si="2"/>
        <v>24</v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Kengetallen!G35</f>
        <v>0.08</v>
      </c>
      <c r="F35" s="179"/>
      <c r="G35" s="179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Kengetallen!G37</f>
        <v>0.08</v>
      </c>
      <c r="F38" s="179">
        <f>C38*E38</f>
        <v>8.0847999999999995</v>
      </c>
      <c r="G38" s="179">
        <f>D38*E38</f>
        <v>0</v>
      </c>
      <c r="H38" s="24"/>
      <c r="M38" s="20" t="b">
        <f t="shared" si="1"/>
        <v>0</v>
      </c>
      <c r="Q38" s="20">
        <f t="shared" si="2"/>
        <v>38</v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632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SUM(C8,C9,C25)</f>
        <v>555.80999999999995</v>
      </c>
      <c r="D4" s="14">
        <f>SUM(D8,D9,D25)</f>
        <v>1047.56</v>
      </c>
      <c r="E4" s="10"/>
      <c r="F4" s="14">
        <f>SUM(F8,F9,F25)</f>
        <v>49.242400000000004</v>
      </c>
      <c r="G4" s="14">
        <f>SUM(G8,G9,G25)</f>
        <v>83.8048</v>
      </c>
      <c r="H4" s="175">
        <f>SUM(F4,G4)</f>
        <v>133.0472</v>
      </c>
      <c r="I4" s="5">
        <f>F4/(Kengetallen!C4)</f>
        <v>2.4559800498753117</v>
      </c>
      <c r="J4" s="1">
        <v>84</v>
      </c>
      <c r="K4" s="15">
        <f>ROUNDUP(J4-I4,1)</f>
        <v>81.599999999999994</v>
      </c>
      <c r="L4" s="16">
        <f>D4-G4</f>
        <v>963.75519999999995</v>
      </c>
      <c r="M4" t="b">
        <f>ISBLANK(F4)</f>
        <v>0</v>
      </c>
      <c r="W4" s="216">
        <f>SUM(W5:W68)</f>
        <v>49.242400000000004</v>
      </c>
      <c r="X4" s="216">
        <f>SUM(X5:X68)</f>
        <v>83.8048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J42</v>
      </c>
      <c r="S5" t="str">
        <f t="shared" si="0"/>
        <v>Staaf tussen twee implantaten</v>
      </c>
      <c r="T5" s="221">
        <f t="shared" si="0"/>
        <v>188.33</v>
      </c>
      <c r="U5" s="221">
        <f t="shared" si="0"/>
        <v>0</v>
      </c>
      <c r="V5" s="223">
        <f t="shared" si="0"/>
        <v>0.08</v>
      </c>
      <c r="W5" s="221">
        <f t="shared" si="0"/>
        <v>15.066400000000002</v>
      </c>
      <c r="X5" s="221">
        <f t="shared" si="0"/>
        <v>0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J43</v>
      </c>
      <c r="S6" t="str">
        <f t="shared" si="0"/>
        <v>Elke volgende staaf tussen implantaten in dezelfde kaak</v>
      </c>
      <c r="T6" s="221">
        <f t="shared" si="0"/>
        <v>59.72</v>
      </c>
      <c r="U6" s="221">
        <f t="shared" si="0"/>
        <v>0</v>
      </c>
      <c r="V6" s="223">
        <f t="shared" si="0"/>
        <v>0.08</v>
      </c>
      <c r="W6" s="221">
        <f t="shared" si="0"/>
        <v>9.5551999999999992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>J52</v>
      </c>
      <c r="S7" t="str">
        <f t="shared" si="0"/>
        <v>Boven-klikgebit, 4 implantaten bovenkaak met staaf en metaal versteviging</v>
      </c>
      <c r="T7" s="221">
        <f t="shared" si="0"/>
        <v>307.76</v>
      </c>
      <c r="U7" s="221">
        <f t="shared" si="0"/>
        <v>1047.56</v>
      </c>
      <c r="V7" s="223">
        <f t="shared" si="0"/>
        <v>0.08</v>
      </c>
      <c r="W7" s="221">
        <f t="shared" si="0"/>
        <v>24.620799999999999</v>
      </c>
      <c r="X7" s="221">
        <f t="shared" si="0"/>
        <v>83.8048</v>
      </c>
    </row>
    <row r="8" spans="1:24" s="20" customFormat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27"/>
      <c r="E8" s="23">
        <f>Kengetallen!G7</f>
        <v>0.08</v>
      </c>
      <c r="F8" s="179">
        <f>C8*E8</f>
        <v>15.066400000000002</v>
      </c>
      <c r="G8" s="179">
        <f>D8*E8</f>
        <v>0</v>
      </c>
      <c r="H8" s="24"/>
      <c r="M8" s="20" t="b">
        <f t="shared" si="1"/>
        <v>0</v>
      </c>
      <c r="Q8" s="20">
        <f t="shared" si="2"/>
        <v>8</v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27"/>
      <c r="E9" s="23">
        <f>Kengetallen!G8</f>
        <v>0.08</v>
      </c>
      <c r="F9" s="179">
        <f>C9*E9*2</f>
        <v>9.5551999999999992</v>
      </c>
      <c r="G9" s="179">
        <f>D9*E9*2</f>
        <v>0</v>
      </c>
      <c r="H9" s="24"/>
      <c r="M9" s="20" t="b">
        <f t="shared" si="1"/>
        <v>0</v>
      </c>
      <c r="Q9" s="20">
        <f t="shared" si="2"/>
        <v>9</v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179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>
        <f>C25*E25</f>
        <v>24.620799999999999</v>
      </c>
      <c r="G25" s="179">
        <f>D25*E25</f>
        <v>83.8048</v>
      </c>
      <c r="H25" s="24"/>
      <c r="M25" s="20" t="b">
        <f t="shared" si="1"/>
        <v>0</v>
      </c>
      <c r="Q25" s="20">
        <f t="shared" si="2"/>
        <v>25</v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572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SUM(C6,C7,C28)</f>
        <v>482.3</v>
      </c>
      <c r="D4" s="14">
        <f>SUM(D6,D7,D28)</f>
        <v>1656.88</v>
      </c>
      <c r="E4" s="10"/>
      <c r="F4" s="14">
        <f>SUM(F6,F7,F28)</f>
        <v>41.155200000000001</v>
      </c>
      <c r="G4" s="14">
        <f>SUM(G6,G7,G28)</f>
        <v>132.55040000000002</v>
      </c>
      <c r="H4" s="175">
        <f>SUM(F4,G4)</f>
        <v>173.70560000000003</v>
      </c>
      <c r="I4" s="5">
        <f>F4/(Kengetallen!C4)</f>
        <v>2.0526284289276808</v>
      </c>
      <c r="J4" s="1">
        <v>84</v>
      </c>
      <c r="K4" s="15">
        <f>ROUNDUP(J4-I4,1)</f>
        <v>82</v>
      </c>
      <c r="L4" s="16">
        <f>D4-G4</f>
        <v>1524.3296</v>
      </c>
      <c r="M4" t="b">
        <f>ISBLANK(F4)</f>
        <v>0</v>
      </c>
      <c r="W4" s="216">
        <f>SUM(W5:W68)</f>
        <v>41.155200000000001</v>
      </c>
      <c r="X4" s="216">
        <f>SUM(X5:X68)</f>
        <v>132.55040000000002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J40</v>
      </c>
      <c r="S5" t="str">
        <f t="shared" si="0"/>
        <v>Twee magneten/drukknoppen</v>
      </c>
      <c r="T5" s="221">
        <f t="shared" si="0"/>
        <v>142.4</v>
      </c>
      <c r="U5" s="221">
        <f t="shared" si="0"/>
        <v>280</v>
      </c>
      <c r="V5" s="223">
        <f t="shared" si="0"/>
        <v>0.08</v>
      </c>
      <c r="W5" s="221">
        <f t="shared" si="0"/>
        <v>11.392000000000001</v>
      </c>
      <c r="X5" s="221">
        <f t="shared" si="0"/>
        <v>22.400000000000002</v>
      </c>
    </row>
    <row r="6" spans="1:24" s="20" customFormat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Kengetallen!G5</f>
        <v>0.08</v>
      </c>
      <c r="F6" s="179">
        <f>C6*E6</f>
        <v>11.392000000000001</v>
      </c>
      <c r="G6" s="179">
        <f>D6*E6</f>
        <v>22.400000000000002</v>
      </c>
      <c r="H6" s="24"/>
      <c r="M6" s="20" t="b">
        <f t="shared" ref="M6:M68" si="1">ISBLANK(F6)</f>
        <v>0</v>
      </c>
      <c r="Q6" s="20">
        <f t="shared" ref="Q6:Q68" si="2">IF(F6&gt;0,ROW(),"")</f>
        <v>6</v>
      </c>
      <c r="R6" t="str">
        <f t="shared" si="0"/>
        <v>J41</v>
      </c>
      <c r="S6" t="str">
        <f t="shared" si="0"/>
        <v>Elke volgende magneet, drukknop</v>
      </c>
      <c r="T6" s="221">
        <f t="shared" si="0"/>
        <v>32.14</v>
      </c>
      <c r="U6" s="221">
        <f t="shared" si="0"/>
        <v>280</v>
      </c>
      <c r="V6" s="223">
        <f t="shared" si="0"/>
        <v>0.08</v>
      </c>
      <c r="W6" s="221">
        <f t="shared" si="0"/>
        <v>5.1424000000000003</v>
      </c>
      <c r="X6" s="221">
        <f t="shared" si="0"/>
        <v>22.400000000000002</v>
      </c>
    </row>
    <row r="7" spans="1:24" s="20" customFormat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Kengetallen!D6*2</f>
        <v>280</v>
      </c>
      <c r="E7" s="23">
        <f>Kengetallen!G6</f>
        <v>0.08</v>
      </c>
      <c r="F7" s="179">
        <f>C7*E7*2</f>
        <v>5.1424000000000003</v>
      </c>
      <c r="G7" s="179">
        <f>D7*E7</f>
        <v>22.400000000000002</v>
      </c>
      <c r="H7" s="24"/>
      <c r="M7" s="20" t="b">
        <f t="shared" si="1"/>
        <v>0</v>
      </c>
      <c r="Q7" s="20">
        <f t="shared" si="2"/>
        <v>7</v>
      </c>
      <c r="R7" t="str">
        <f t="shared" si="0"/>
        <v>J52</v>
      </c>
      <c r="S7" t="str">
        <f t="shared" si="0"/>
        <v>Boven-klikgebit, 4 implantaten bovenkaak met drukknoppen</v>
      </c>
      <c r="T7" s="221">
        <f t="shared" si="0"/>
        <v>307.76</v>
      </c>
      <c r="U7" s="221">
        <f t="shared" si="0"/>
        <v>1096.8800000000001</v>
      </c>
      <c r="V7" s="223">
        <f t="shared" si="0"/>
        <v>0.08</v>
      </c>
      <c r="W7" s="221">
        <f t="shared" si="0"/>
        <v>24.620799999999999</v>
      </c>
      <c r="X7" s="221">
        <f t="shared" si="0"/>
        <v>87.750400000000013</v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179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>
        <f>C28*E28</f>
        <v>24.620799999999999</v>
      </c>
      <c r="G28" s="179">
        <f>D28*E28</f>
        <v>87.750400000000013</v>
      </c>
      <c r="H28" s="24"/>
      <c r="M28" s="20" t="b">
        <f t="shared" si="1"/>
        <v>0</v>
      </c>
      <c r="Q28" s="20">
        <f t="shared" si="2"/>
        <v>28</v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Y71"/>
  <sheetViews>
    <sheetView workbookViewId="0">
      <selection activeCell="D85" sqref="D85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13.8554687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5" width="0" hidden="1" customWidth="1"/>
  </cols>
  <sheetData>
    <row r="1" spans="1:25" ht="43.35" customHeight="1">
      <c r="A1" s="298" t="s">
        <v>98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5" ht="41.1" customHeight="1">
      <c r="A2" s="19" t="s">
        <v>92</v>
      </c>
      <c r="B2" s="18">
        <f ca="1">TODAY()</f>
        <v>42771</v>
      </c>
      <c r="C2" s="21" t="s">
        <v>23</v>
      </c>
      <c r="D2" s="11" t="s">
        <v>712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  <c r="Y2" s="214"/>
    </row>
    <row r="3" spans="1:25" ht="41.1" customHeight="1">
      <c r="A3" s="8"/>
      <c r="B3" s="183"/>
      <c r="C3" s="21"/>
      <c r="D3" s="11"/>
      <c r="E3" s="12"/>
      <c r="F3" s="177" t="s">
        <v>19</v>
      </c>
      <c r="G3" s="178" t="s">
        <v>711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5">
      <c r="A4" s="13" t="s">
        <v>22</v>
      </c>
      <c r="B4" s="13" t="s">
        <v>21</v>
      </c>
      <c r="C4" s="14">
        <f>SUM(C55,C58,C59,C60,C61)</f>
        <v>521.71999999999991</v>
      </c>
      <c r="D4" s="14">
        <f>SUM(D55,D58,D59,D60,D61)</f>
        <v>729</v>
      </c>
      <c r="E4" s="10"/>
      <c r="F4" s="14">
        <f>SUM(F55,F58,F59,F60,F61)</f>
        <v>138.4975</v>
      </c>
      <c r="G4" s="14">
        <f>SUM(G55,G58,G59,G60,G61)</f>
        <v>182.25</v>
      </c>
      <c r="H4" s="175">
        <f>SUM(F4,G4)</f>
        <v>320.7475</v>
      </c>
      <c r="I4" s="5">
        <f>F4/(Kengetallen!C4)</f>
        <v>6.9076059850374065</v>
      </c>
      <c r="J4" s="1">
        <v>84</v>
      </c>
      <c r="K4" s="15">
        <f>ROUNDUP(J4-I4,1)</f>
        <v>77.099999999999994</v>
      </c>
      <c r="L4" s="16">
        <f>D4-G4</f>
        <v>546.75</v>
      </c>
      <c r="M4" t="b">
        <f>ISBLANK(F4)</f>
        <v>0</v>
      </c>
      <c r="W4" s="216">
        <f>SUM(W5:W68)</f>
        <v>138.4975</v>
      </c>
      <c r="X4" s="216">
        <f>SUM(X5:X68)</f>
        <v>182.25</v>
      </c>
    </row>
    <row r="5" spans="1:25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P30</v>
      </c>
      <c r="S5" t="str">
        <f t="shared" si="0"/>
        <v>Volledig kunstgebit boven- en onderkaak</v>
      </c>
      <c r="T5" s="221">
        <f t="shared" si="0"/>
        <v>349.61</v>
      </c>
      <c r="U5" s="221">
        <f t="shared" si="0"/>
        <v>678</v>
      </c>
      <c r="V5" s="223">
        <f t="shared" si="0"/>
        <v>0.25</v>
      </c>
      <c r="W5" s="221">
        <f t="shared" si="0"/>
        <v>87.402500000000003</v>
      </c>
      <c r="X5" s="221">
        <f t="shared" si="0"/>
        <v>169.5</v>
      </c>
    </row>
    <row r="6" spans="1:25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P14</v>
      </c>
      <c r="S6" t="str">
        <f t="shared" si="0"/>
        <v>Individuele afdruk met randopbouw</v>
      </c>
      <c r="T6" s="221">
        <f t="shared" si="0"/>
        <v>59.16</v>
      </c>
      <c r="U6" s="221">
        <f t="shared" si="0"/>
        <v>0</v>
      </c>
      <c r="V6" s="223">
        <f t="shared" si="0"/>
        <v>0.25</v>
      </c>
      <c r="W6" s="221">
        <f t="shared" si="0"/>
        <v>29.58</v>
      </c>
      <c r="X6" s="221">
        <f t="shared" si="0"/>
        <v>0</v>
      </c>
    </row>
    <row r="7" spans="1:25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>P37</v>
      </c>
      <c r="S7" t="str">
        <f t="shared" si="0"/>
        <v>Frontopstelling in aparte zitting</v>
      </c>
      <c r="T7" s="221">
        <f t="shared" si="0"/>
        <v>32.270000000000003</v>
      </c>
      <c r="U7" s="221">
        <f t="shared" si="0"/>
        <v>0</v>
      </c>
      <c r="V7" s="223">
        <f t="shared" si="0"/>
        <v>0.25</v>
      </c>
      <c r="W7" s="221">
        <f t="shared" si="0"/>
        <v>8.0675000000000008</v>
      </c>
      <c r="X7" s="221">
        <f t="shared" si="0"/>
        <v>0</v>
      </c>
    </row>
    <row r="8" spans="1:25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24"/>
      <c r="H8" s="24"/>
      <c r="M8" s="20" t="b">
        <f t="shared" si="1"/>
        <v>1</v>
      </c>
      <c r="Q8" s="20" t="str">
        <f t="shared" si="2"/>
        <v/>
      </c>
      <c r="R8" t="str">
        <f t="shared" si="0"/>
        <v>P17</v>
      </c>
      <c r="S8" t="str">
        <f t="shared" si="0"/>
        <v>Toeslag voor beetregistratie met specifieke apparatuur</v>
      </c>
      <c r="T8" s="221">
        <f t="shared" si="0"/>
        <v>53.79</v>
      </c>
      <c r="U8" s="221">
        <f t="shared" si="0"/>
        <v>51</v>
      </c>
      <c r="V8" s="223">
        <f t="shared" si="0"/>
        <v>0.25</v>
      </c>
      <c r="W8" s="221">
        <f t="shared" si="0"/>
        <v>13.4475</v>
      </c>
      <c r="X8" s="221">
        <f t="shared" si="0"/>
        <v>12.75</v>
      </c>
    </row>
    <row r="9" spans="1:25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9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5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ref="R10:W10" si="4">IFERROR(INDEX(A$1:A$68,SMALL($Q$5:$Q$68,ROW(L6)),1),"")</f>
        <v/>
      </c>
      <c r="S10" t="str">
        <f t="shared" si="4"/>
        <v/>
      </c>
      <c r="T10" s="221" t="str">
        <f t="shared" si="4"/>
        <v/>
      </c>
      <c r="U10" s="221" t="str">
        <f t="shared" si="4"/>
        <v/>
      </c>
      <c r="V10" s="223" t="str">
        <f t="shared" si="4"/>
        <v/>
      </c>
      <c r="W10" s="221" t="str">
        <f t="shared" si="4"/>
        <v/>
      </c>
      <c r="X10" s="221" t="str">
        <f>IFERROR(INDEX(G$1:G$68,SMALL($Q$5:$Q$68,ROW(R6)),1),"")</f>
        <v/>
      </c>
    </row>
    <row r="11" spans="1:25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ref="R11:W11" si="5">IFERROR(INDEX(A$1:A$68,SMALL($Q$5:$Q$68,ROW(L7)),1),"")</f>
        <v/>
      </c>
      <c r="S11" t="str">
        <f t="shared" si="5"/>
        <v/>
      </c>
      <c r="T11" s="221" t="str">
        <f t="shared" si="5"/>
        <v/>
      </c>
      <c r="U11" s="221" t="str">
        <f t="shared" si="5"/>
        <v/>
      </c>
      <c r="V11" s="223" t="str">
        <f t="shared" si="5"/>
        <v/>
      </c>
      <c r="W11" s="221" t="str">
        <f t="shared" si="5"/>
        <v/>
      </c>
      <c r="X11" s="221" t="str">
        <f>IFERROR(INDEX(G$1:G$68,SMALL($Q$5:$Q$68,ROW(R7)),1),"")</f>
        <v/>
      </c>
    </row>
    <row r="12" spans="1:25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ref="R12:W12" si="6">IFERROR(INDEX(A$1:A$68,SMALL($Q$5:$Q$68,ROW(L8)),1),"")</f>
        <v/>
      </c>
      <c r="S12" t="str">
        <f t="shared" si="6"/>
        <v/>
      </c>
      <c r="T12" s="221" t="str">
        <f t="shared" si="6"/>
        <v/>
      </c>
      <c r="U12" s="221" t="str">
        <f t="shared" si="6"/>
        <v/>
      </c>
      <c r="V12" s="223" t="str">
        <f t="shared" si="6"/>
        <v/>
      </c>
      <c r="W12" s="221" t="str">
        <f t="shared" si="6"/>
        <v/>
      </c>
      <c r="X12" s="221" t="str">
        <f>IFERROR(INDEX(G$1:G$68,SMALL($Q$5:$Q$68,ROW(R8)),1),"")</f>
        <v/>
      </c>
    </row>
    <row r="13" spans="1:25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ref="R13:X13" si="7">IFERROR(INDEX(A$1:A$68,SMALL($Q$5:$Q$68,ROW(L9)),1),"")</f>
        <v/>
      </c>
      <c r="S13" t="str">
        <f t="shared" si="7"/>
        <v/>
      </c>
      <c r="T13" s="221" t="str">
        <f t="shared" si="7"/>
        <v/>
      </c>
      <c r="U13" s="221" t="str">
        <f t="shared" si="7"/>
        <v/>
      </c>
      <c r="V13" s="223" t="str">
        <f t="shared" si="7"/>
        <v/>
      </c>
      <c r="W13" s="221" t="str">
        <f t="shared" si="7"/>
        <v/>
      </c>
      <c r="X13" s="221" t="str">
        <f t="shared" si="7"/>
        <v/>
      </c>
    </row>
    <row r="14" spans="1:25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ref="R14:X14" si="8">IFERROR(INDEX(A$1:A$68,SMALL($Q$5:$Q$68,ROW(L10)),1),"")</f>
        <v/>
      </c>
      <c r="S14" t="str">
        <f t="shared" si="8"/>
        <v/>
      </c>
      <c r="T14" s="221" t="str">
        <f t="shared" si="8"/>
        <v/>
      </c>
      <c r="U14" s="221" t="str">
        <f t="shared" si="8"/>
        <v/>
      </c>
      <c r="V14" s="223" t="str">
        <f t="shared" si="8"/>
        <v/>
      </c>
      <c r="W14" s="221" t="str">
        <f t="shared" si="8"/>
        <v/>
      </c>
      <c r="X14" s="221" t="str">
        <f t="shared" si="8"/>
        <v/>
      </c>
    </row>
    <row r="15" spans="1:25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ref="R15:X15" si="9">IFERROR(INDEX(A$1:A$68,SMALL($Q$5:$Q$68,ROW(L11)),1),"")</f>
        <v/>
      </c>
      <c r="S15" t="str">
        <f t="shared" si="9"/>
        <v/>
      </c>
      <c r="T15" s="221" t="str">
        <f t="shared" si="9"/>
        <v/>
      </c>
      <c r="U15" s="221" t="str">
        <f t="shared" si="9"/>
        <v/>
      </c>
      <c r="V15" s="223" t="str">
        <f t="shared" si="9"/>
        <v/>
      </c>
      <c r="W15" s="221" t="str">
        <f t="shared" si="9"/>
        <v/>
      </c>
      <c r="X15" s="221" t="str">
        <f t="shared" si="9"/>
        <v/>
      </c>
    </row>
    <row r="16" spans="1:25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ref="R16:X16" si="10">IFERROR(INDEX(A$1:A$68,SMALL($Q$5:$Q$68,ROW(L12)),1),"")</f>
        <v/>
      </c>
      <c r="S16" t="str">
        <f t="shared" si="10"/>
        <v/>
      </c>
      <c r="T16" s="221" t="str">
        <f t="shared" si="10"/>
        <v/>
      </c>
      <c r="U16" s="221" t="str">
        <f t="shared" si="10"/>
        <v/>
      </c>
      <c r="V16" s="223" t="str">
        <f t="shared" si="10"/>
        <v/>
      </c>
      <c r="W16" s="221" t="str">
        <f t="shared" si="10"/>
        <v/>
      </c>
      <c r="X16" s="221" t="str">
        <f t="shared" si="10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ref="R17:X17" si="11">IFERROR(INDEX(A$1:A$68,SMALL($Q$5:$Q$68,ROW(L13)),1),"")</f>
        <v/>
      </c>
      <c r="S17" t="str">
        <f t="shared" si="11"/>
        <v/>
      </c>
      <c r="T17" s="221" t="str">
        <f t="shared" si="11"/>
        <v/>
      </c>
      <c r="U17" s="221" t="str">
        <f t="shared" si="11"/>
        <v/>
      </c>
      <c r="V17" s="223" t="str">
        <f t="shared" si="11"/>
        <v/>
      </c>
      <c r="W17" s="221" t="str">
        <f t="shared" si="11"/>
        <v/>
      </c>
      <c r="X17" s="221" t="str">
        <f t="shared" si="11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1"/>
        <v>1</v>
      </c>
      <c r="Q18" s="20" t="str">
        <f t="shared" si="2"/>
        <v/>
      </c>
      <c r="R18" t="str">
        <f t="shared" ref="R18:X18" si="12">IFERROR(INDEX(A$1:A$68,SMALL($Q$5:$Q$68,ROW(L14)),1),"")</f>
        <v/>
      </c>
      <c r="S18" t="str">
        <f t="shared" si="12"/>
        <v/>
      </c>
      <c r="T18" s="221" t="str">
        <f t="shared" si="12"/>
        <v/>
      </c>
      <c r="U18" s="221" t="str">
        <f t="shared" si="12"/>
        <v/>
      </c>
      <c r="V18" s="223" t="str">
        <f t="shared" si="12"/>
        <v/>
      </c>
      <c r="W18" s="221" t="str">
        <f t="shared" si="12"/>
        <v/>
      </c>
      <c r="X18" s="221" t="str">
        <f t="shared" si="12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ref="R19:X19" si="13">IFERROR(INDEX(A$1:A$68,SMALL($Q$5:$Q$68,ROW(L15)),1),"")</f>
        <v/>
      </c>
      <c r="S19" t="str">
        <f t="shared" si="13"/>
        <v/>
      </c>
      <c r="T19" s="221" t="str">
        <f t="shared" si="13"/>
        <v/>
      </c>
      <c r="U19" s="221" t="str">
        <f t="shared" si="13"/>
        <v/>
      </c>
      <c r="V19" s="223" t="str">
        <f t="shared" si="13"/>
        <v/>
      </c>
      <c r="W19" s="221" t="str">
        <f t="shared" si="13"/>
        <v/>
      </c>
      <c r="X19" s="221" t="str">
        <f t="shared" si="1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ref="R20:X20" si="14">IFERROR(INDEX(A$1:A$68,SMALL($Q$5:$Q$68,ROW(L16)),1),"")</f>
        <v/>
      </c>
      <c r="S20" t="str">
        <f t="shared" si="14"/>
        <v/>
      </c>
      <c r="T20" s="221" t="str">
        <f t="shared" si="14"/>
        <v/>
      </c>
      <c r="U20" s="221" t="str">
        <f t="shared" si="14"/>
        <v/>
      </c>
      <c r="V20" s="223" t="str">
        <f t="shared" si="14"/>
        <v/>
      </c>
      <c r="W20" s="221" t="str">
        <f t="shared" si="14"/>
        <v/>
      </c>
      <c r="X20" s="221" t="str">
        <f t="shared" si="14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ref="R21:X21" si="15">IFERROR(INDEX(A$1:A$68,SMALL($Q$5:$Q$68,ROW(L17)),1),"")</f>
        <v/>
      </c>
      <c r="S21" t="str">
        <f t="shared" si="15"/>
        <v/>
      </c>
      <c r="T21" s="221" t="str">
        <f t="shared" si="15"/>
        <v/>
      </c>
      <c r="U21" s="221" t="str">
        <f t="shared" si="15"/>
        <v/>
      </c>
      <c r="V21" s="223" t="str">
        <f t="shared" si="15"/>
        <v/>
      </c>
      <c r="W21" s="221" t="str">
        <f t="shared" si="15"/>
        <v/>
      </c>
      <c r="X21" s="221" t="str">
        <f t="shared" si="15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ref="R22:X22" si="16">IFERROR(INDEX(A$1:A$68,SMALL($Q$5:$Q$68,ROW(L18)),1),"")</f>
        <v/>
      </c>
      <c r="S22" t="str">
        <f t="shared" si="16"/>
        <v/>
      </c>
      <c r="T22" s="221" t="str">
        <f t="shared" si="16"/>
        <v/>
      </c>
      <c r="U22" s="221" t="str">
        <f t="shared" si="16"/>
        <v/>
      </c>
      <c r="V22" s="223" t="str">
        <f t="shared" si="16"/>
        <v/>
      </c>
      <c r="W22" s="221" t="str">
        <f t="shared" si="16"/>
        <v/>
      </c>
      <c r="X22" s="221" t="str">
        <f t="shared" si="16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ref="R23:X23" si="17">IFERROR(INDEX(A$1:A$68,SMALL($Q$5:$Q$68,ROW(L19)),1),"")</f>
        <v/>
      </c>
      <c r="S23" t="str">
        <f t="shared" si="17"/>
        <v/>
      </c>
      <c r="T23" s="221" t="str">
        <f t="shared" si="17"/>
        <v/>
      </c>
      <c r="U23" s="221" t="str">
        <f t="shared" si="17"/>
        <v/>
      </c>
      <c r="V23" s="223" t="str">
        <f t="shared" si="17"/>
        <v/>
      </c>
      <c r="W23" s="221" t="str">
        <f t="shared" si="17"/>
        <v/>
      </c>
      <c r="X23" s="221" t="str">
        <f t="shared" si="17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ref="R24:X24" si="18">IFERROR(INDEX(A$1:A$68,SMALL($Q$5:$Q$68,ROW(L20)),1),"")</f>
        <v/>
      </c>
      <c r="S24" t="str">
        <f t="shared" si="18"/>
        <v/>
      </c>
      <c r="T24" s="221" t="str">
        <f t="shared" si="18"/>
        <v/>
      </c>
      <c r="U24" s="221" t="str">
        <f t="shared" si="18"/>
        <v/>
      </c>
      <c r="V24" s="223" t="str">
        <f t="shared" si="18"/>
        <v/>
      </c>
      <c r="W24" s="221" t="str">
        <f t="shared" si="18"/>
        <v/>
      </c>
      <c r="X24" s="221" t="str">
        <f t="shared" si="18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25" si="19">IFERROR(INDEX(A$1:A$68,SMALL($Q$5:$Q$68,ROW(L21)),1),"")</f>
        <v/>
      </c>
      <c r="S25" t="str">
        <f t="shared" si="19"/>
        <v/>
      </c>
      <c r="T25" s="221" t="str">
        <f t="shared" si="19"/>
        <v/>
      </c>
      <c r="U25" s="221" t="str">
        <f t="shared" si="19"/>
        <v/>
      </c>
      <c r="V25" s="223" t="str">
        <f t="shared" si="19"/>
        <v/>
      </c>
      <c r="W25" s="221" t="str">
        <f t="shared" si="19"/>
        <v/>
      </c>
      <c r="X25" s="221" t="str">
        <f t="shared" si="19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ref="R26:X26" si="20">IFERROR(INDEX(A$1:A$68,SMALL($Q$5:$Q$68,ROW(L22)),1),"")</f>
        <v/>
      </c>
      <c r="S26" t="str">
        <f t="shared" si="20"/>
        <v/>
      </c>
      <c r="T26" s="221" t="str">
        <f t="shared" si="20"/>
        <v/>
      </c>
      <c r="U26" s="221" t="str">
        <f t="shared" si="20"/>
        <v/>
      </c>
      <c r="V26" s="223" t="str">
        <f t="shared" si="20"/>
        <v/>
      </c>
      <c r="W26" s="221" t="str">
        <f t="shared" si="20"/>
        <v/>
      </c>
      <c r="X26" s="221" t="str">
        <f t="shared" si="20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ref="R27:X27" si="21">IFERROR(INDEX(A$1:A$68,SMALL($Q$5:$Q$68,ROW(L23)),1),"")</f>
        <v/>
      </c>
      <c r="S27" t="str">
        <f t="shared" si="21"/>
        <v/>
      </c>
      <c r="T27" s="221" t="str">
        <f t="shared" si="21"/>
        <v/>
      </c>
      <c r="U27" s="221" t="str">
        <f t="shared" si="21"/>
        <v/>
      </c>
      <c r="V27" s="223" t="str">
        <f t="shared" si="21"/>
        <v/>
      </c>
      <c r="W27" s="221" t="str">
        <f t="shared" si="21"/>
        <v/>
      </c>
      <c r="X27" s="221" t="str">
        <f t="shared" si="21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ref="R28:X28" si="22">IFERROR(INDEX(A$1:A$68,SMALL($Q$5:$Q$68,ROW(L24)),1),"")</f>
        <v/>
      </c>
      <c r="S28" t="str">
        <f t="shared" si="22"/>
        <v/>
      </c>
      <c r="T28" s="221" t="str">
        <f t="shared" si="22"/>
        <v/>
      </c>
      <c r="U28" s="221" t="str">
        <f t="shared" si="22"/>
        <v/>
      </c>
      <c r="V28" s="223" t="str">
        <f t="shared" si="22"/>
        <v/>
      </c>
      <c r="W28" s="221" t="str">
        <f t="shared" si="22"/>
        <v/>
      </c>
      <c r="X28" s="221" t="str">
        <f t="shared" si="22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ref="R29:X29" si="23">IFERROR(INDEX(A$1:A$68,SMALL($Q$5:$Q$68,ROW(L25)),1),"")</f>
        <v/>
      </c>
      <c r="S29" t="str">
        <f t="shared" si="23"/>
        <v/>
      </c>
      <c r="T29" s="221" t="str">
        <f t="shared" si="23"/>
        <v/>
      </c>
      <c r="U29" s="221" t="str">
        <f t="shared" si="23"/>
        <v/>
      </c>
      <c r="V29" s="223" t="str">
        <f t="shared" si="23"/>
        <v/>
      </c>
      <c r="W29" s="221" t="str">
        <f t="shared" si="23"/>
        <v/>
      </c>
      <c r="X29" s="221" t="str">
        <f t="shared" si="23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ref="R30:X30" si="24">IFERROR(INDEX(A$1:A$68,SMALL($Q$5:$Q$68,ROW(L26)),1),"")</f>
        <v/>
      </c>
      <c r="S30" t="str">
        <f t="shared" si="24"/>
        <v/>
      </c>
      <c r="T30" s="221" t="str">
        <f t="shared" si="24"/>
        <v/>
      </c>
      <c r="U30" s="221" t="str">
        <f t="shared" si="24"/>
        <v/>
      </c>
      <c r="V30" s="223" t="str">
        <f t="shared" si="24"/>
        <v/>
      </c>
      <c r="W30" s="221" t="str">
        <f t="shared" si="24"/>
        <v/>
      </c>
      <c r="X30" s="221" t="str">
        <f t="shared" si="2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ref="R31:X31" si="25">IFERROR(INDEX(A$1:A$68,SMALL($Q$5:$Q$68,ROW(L27)),1),"")</f>
        <v/>
      </c>
      <c r="S31" t="str">
        <f t="shared" si="25"/>
        <v/>
      </c>
      <c r="T31" s="221" t="str">
        <f t="shared" si="25"/>
        <v/>
      </c>
      <c r="U31" s="221" t="str">
        <f t="shared" si="25"/>
        <v/>
      </c>
      <c r="V31" s="223" t="str">
        <f t="shared" si="25"/>
        <v/>
      </c>
      <c r="W31" s="221" t="str">
        <f t="shared" si="25"/>
        <v/>
      </c>
      <c r="X31" s="221" t="str">
        <f t="shared" si="25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ref="R32:X32" si="26">IFERROR(INDEX(A$1:A$68,SMALL($Q$5:$Q$68,ROW(L28)),1),"")</f>
        <v/>
      </c>
      <c r="S32" t="str">
        <f t="shared" si="26"/>
        <v/>
      </c>
      <c r="T32" s="221" t="str">
        <f t="shared" si="26"/>
        <v/>
      </c>
      <c r="U32" s="221" t="str">
        <f t="shared" si="26"/>
        <v/>
      </c>
      <c r="V32" s="223" t="str">
        <f t="shared" si="26"/>
        <v/>
      </c>
      <c r="W32" s="221" t="str">
        <f t="shared" si="26"/>
        <v/>
      </c>
      <c r="X32" s="221" t="str">
        <f t="shared" si="26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ref="R33:X33" si="27">IFERROR(INDEX(A$1:A$68,SMALL($Q$5:$Q$68,ROW(L29)),1),"")</f>
        <v/>
      </c>
      <c r="S33" t="str">
        <f t="shared" si="27"/>
        <v/>
      </c>
      <c r="T33" s="221" t="str">
        <f t="shared" si="27"/>
        <v/>
      </c>
      <c r="U33" s="221" t="str">
        <f t="shared" si="27"/>
        <v/>
      </c>
      <c r="V33" s="223" t="str">
        <f t="shared" si="27"/>
        <v/>
      </c>
      <c r="W33" s="221" t="str">
        <f t="shared" si="27"/>
        <v/>
      </c>
      <c r="X33" s="221" t="str">
        <f t="shared" si="27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ref="R34:X34" si="28">IFERROR(INDEX(A$1:A$68,SMALL($Q$5:$Q$68,ROW(L30)),1),"")</f>
        <v/>
      </c>
      <c r="S34" t="str">
        <f t="shared" si="28"/>
        <v/>
      </c>
      <c r="T34" s="221" t="str">
        <f t="shared" si="28"/>
        <v/>
      </c>
      <c r="U34" s="221" t="str">
        <f t="shared" si="28"/>
        <v/>
      </c>
      <c r="V34" s="223" t="str">
        <f t="shared" si="28"/>
        <v/>
      </c>
      <c r="W34" s="221" t="str">
        <f t="shared" si="28"/>
        <v/>
      </c>
      <c r="X34" s="221" t="str">
        <f t="shared" si="28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ref="R35:X35" si="29">IFERROR(INDEX(A$1:A$68,SMALL($Q$5:$Q$68,ROW(L31)),1),"")</f>
        <v/>
      </c>
      <c r="S35" t="str">
        <f t="shared" si="29"/>
        <v/>
      </c>
      <c r="T35" s="221" t="str">
        <f t="shared" si="29"/>
        <v/>
      </c>
      <c r="U35" s="221" t="str">
        <f t="shared" si="29"/>
        <v/>
      </c>
      <c r="V35" s="223" t="str">
        <f t="shared" si="29"/>
        <v/>
      </c>
      <c r="W35" s="221" t="str">
        <f t="shared" si="29"/>
        <v/>
      </c>
      <c r="X35" s="221" t="str">
        <f t="shared" si="29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ref="R36:X36" si="30">IFERROR(INDEX(A$1:A$68,SMALL($Q$5:$Q$68,ROW(L32)),1),"")</f>
        <v/>
      </c>
      <c r="S36" t="str">
        <f t="shared" si="30"/>
        <v/>
      </c>
      <c r="T36" s="221" t="str">
        <f t="shared" si="30"/>
        <v/>
      </c>
      <c r="U36" s="221" t="str">
        <f t="shared" si="30"/>
        <v/>
      </c>
      <c r="V36" s="223" t="str">
        <f t="shared" si="30"/>
        <v/>
      </c>
      <c r="W36" s="221" t="str">
        <f t="shared" si="30"/>
        <v/>
      </c>
      <c r="X36" s="221" t="str">
        <f t="shared" si="30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ref="R37:X37" si="31">IFERROR(INDEX(A$1:A$68,SMALL($Q$5:$Q$68,ROW(L33)),1),"")</f>
        <v/>
      </c>
      <c r="S37" t="str">
        <f t="shared" si="31"/>
        <v/>
      </c>
      <c r="T37" s="221" t="str">
        <f t="shared" si="31"/>
        <v/>
      </c>
      <c r="U37" s="221" t="str">
        <f t="shared" si="31"/>
        <v/>
      </c>
      <c r="V37" s="223" t="str">
        <f t="shared" si="31"/>
        <v/>
      </c>
      <c r="W37" s="221" t="str">
        <f t="shared" si="31"/>
        <v/>
      </c>
      <c r="X37" s="221" t="str">
        <f t="shared" si="31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ref="R38:X38" si="32">IFERROR(INDEX(A$1:A$68,SMALL($Q$5:$Q$68,ROW(L34)),1),"")</f>
        <v/>
      </c>
      <c r="S38" t="str">
        <f t="shared" si="32"/>
        <v/>
      </c>
      <c r="T38" s="221" t="str">
        <f t="shared" si="32"/>
        <v/>
      </c>
      <c r="U38" s="221" t="str">
        <f t="shared" si="32"/>
        <v/>
      </c>
      <c r="V38" s="223" t="str">
        <f t="shared" si="32"/>
        <v/>
      </c>
      <c r="W38" s="221" t="str">
        <f t="shared" si="32"/>
        <v/>
      </c>
      <c r="X38" s="221" t="str">
        <f t="shared" si="32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ref="R39:X39" si="33">IFERROR(INDEX(A$1:A$68,SMALL($Q$5:$Q$68,ROW(L35)),1),"")</f>
        <v/>
      </c>
      <c r="S39" t="str">
        <f t="shared" si="33"/>
        <v/>
      </c>
      <c r="T39" s="221" t="str">
        <f t="shared" si="33"/>
        <v/>
      </c>
      <c r="U39" s="221" t="str">
        <f t="shared" si="33"/>
        <v/>
      </c>
      <c r="V39" s="223" t="str">
        <f t="shared" si="33"/>
        <v/>
      </c>
      <c r="W39" s="221" t="str">
        <f t="shared" si="33"/>
        <v/>
      </c>
      <c r="X39" s="221" t="str">
        <f t="shared" si="33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ref="R40:X40" si="34">IFERROR(INDEX(A$1:A$68,SMALL($Q$5:$Q$68,ROW(L36)),1),"")</f>
        <v/>
      </c>
      <c r="S40" t="str">
        <f t="shared" si="34"/>
        <v/>
      </c>
      <c r="T40" s="221" t="str">
        <f t="shared" si="34"/>
        <v/>
      </c>
      <c r="U40" s="221" t="str">
        <f t="shared" si="34"/>
        <v/>
      </c>
      <c r="V40" s="223" t="str">
        <f t="shared" si="34"/>
        <v/>
      </c>
      <c r="W40" s="221" t="str">
        <f t="shared" si="34"/>
        <v/>
      </c>
      <c r="X40" s="221" t="str">
        <f t="shared" si="3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41" si="35">IFERROR(INDEX(A$1:A$68,SMALL($Q$5:$Q$68,ROW(L37)),1),"")</f>
        <v/>
      </c>
      <c r="S41" t="str">
        <f t="shared" si="35"/>
        <v/>
      </c>
      <c r="T41" s="221" t="str">
        <f t="shared" si="35"/>
        <v/>
      </c>
      <c r="U41" s="221" t="str">
        <f t="shared" si="35"/>
        <v/>
      </c>
      <c r="V41" s="223" t="str">
        <f t="shared" si="35"/>
        <v/>
      </c>
      <c r="W41" s="221" t="str">
        <f t="shared" si="35"/>
        <v/>
      </c>
      <c r="X41" s="221" t="str">
        <f t="shared" si="3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ref="R42:X42" si="36">IFERROR(INDEX(A$1:A$68,SMALL($Q$5:$Q$68,ROW(L38)),1),"")</f>
        <v/>
      </c>
      <c r="S42" t="str">
        <f t="shared" si="36"/>
        <v/>
      </c>
      <c r="T42" s="221" t="str">
        <f t="shared" si="36"/>
        <v/>
      </c>
      <c r="U42" s="221" t="str">
        <f t="shared" si="36"/>
        <v/>
      </c>
      <c r="V42" s="223" t="str">
        <f t="shared" si="36"/>
        <v/>
      </c>
      <c r="W42" s="221" t="str">
        <f t="shared" si="36"/>
        <v/>
      </c>
      <c r="X42" s="221" t="str">
        <f t="shared" si="36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ref="R43:X43" si="37">IFERROR(INDEX(A$1:A$68,SMALL($Q$5:$Q$68,ROW(L39)),1),"")</f>
        <v/>
      </c>
      <c r="S43" t="str">
        <f t="shared" si="37"/>
        <v/>
      </c>
      <c r="T43" s="221" t="str">
        <f t="shared" si="37"/>
        <v/>
      </c>
      <c r="U43" s="221" t="str">
        <f t="shared" si="37"/>
        <v/>
      </c>
      <c r="V43" s="223" t="str">
        <f t="shared" si="37"/>
        <v/>
      </c>
      <c r="W43" s="221" t="str">
        <f t="shared" si="37"/>
        <v/>
      </c>
      <c r="X43" s="221" t="str">
        <f t="shared" si="37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ref="R44:X44" si="38">IFERROR(INDEX(A$1:A$68,SMALL($Q$5:$Q$68,ROW(L40)),1),"")</f>
        <v/>
      </c>
      <c r="S44" t="str">
        <f t="shared" si="38"/>
        <v/>
      </c>
      <c r="T44" s="221" t="str">
        <f t="shared" si="38"/>
        <v/>
      </c>
      <c r="U44" s="221" t="str">
        <f t="shared" si="38"/>
        <v/>
      </c>
      <c r="V44" s="223" t="str">
        <f t="shared" si="38"/>
        <v/>
      </c>
      <c r="W44" s="221" t="str">
        <f t="shared" si="38"/>
        <v/>
      </c>
      <c r="X44" s="221" t="str">
        <f t="shared" si="38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ref="R45:X45" si="39">IFERROR(INDEX(A$1:A$68,SMALL($Q$5:$Q$68,ROW(L41)),1),"")</f>
        <v/>
      </c>
      <c r="S45" t="str">
        <f t="shared" si="39"/>
        <v/>
      </c>
      <c r="T45" s="221" t="str">
        <f t="shared" si="39"/>
        <v/>
      </c>
      <c r="U45" s="221" t="str">
        <f t="shared" si="39"/>
        <v/>
      </c>
      <c r="V45" s="223" t="str">
        <f t="shared" si="39"/>
        <v/>
      </c>
      <c r="W45" s="221" t="str">
        <f t="shared" si="39"/>
        <v/>
      </c>
      <c r="X45" s="221" t="str">
        <f t="shared" si="39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ref="R46:X46" si="40">IFERROR(INDEX(A$1:A$68,SMALL($Q$5:$Q$68,ROW(L42)),1),"")</f>
        <v/>
      </c>
      <c r="S46" t="str">
        <f t="shared" si="40"/>
        <v/>
      </c>
      <c r="T46" s="221" t="str">
        <f t="shared" si="40"/>
        <v/>
      </c>
      <c r="U46" s="221" t="str">
        <f t="shared" si="40"/>
        <v/>
      </c>
      <c r="V46" s="223" t="str">
        <f t="shared" si="40"/>
        <v/>
      </c>
      <c r="W46" s="221" t="str">
        <f t="shared" si="40"/>
        <v/>
      </c>
      <c r="X46" s="221" t="str">
        <f t="shared" si="40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ref="R47:X47" si="41">IFERROR(INDEX(A$1:A$68,SMALL($Q$5:$Q$68,ROW(L43)),1),"")</f>
        <v/>
      </c>
      <c r="S47" t="str">
        <f t="shared" si="41"/>
        <v/>
      </c>
      <c r="T47" s="221" t="str">
        <f t="shared" si="41"/>
        <v/>
      </c>
      <c r="U47" s="221" t="str">
        <f t="shared" si="41"/>
        <v/>
      </c>
      <c r="V47" s="223" t="str">
        <f t="shared" si="41"/>
        <v/>
      </c>
      <c r="W47" s="221" t="str">
        <f t="shared" si="41"/>
        <v/>
      </c>
      <c r="X47" s="221" t="str">
        <f t="shared" si="41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ref="R48:X48" si="42">IFERROR(INDEX(A$1:A$68,SMALL($Q$5:$Q$68,ROW(L44)),1),"")</f>
        <v/>
      </c>
      <c r="S48" t="str">
        <f t="shared" si="42"/>
        <v/>
      </c>
      <c r="T48" s="221" t="str">
        <f t="shared" si="42"/>
        <v/>
      </c>
      <c r="U48" s="221" t="str">
        <f t="shared" si="42"/>
        <v/>
      </c>
      <c r="V48" s="223" t="str">
        <f t="shared" si="42"/>
        <v/>
      </c>
      <c r="W48" s="221" t="str">
        <f t="shared" si="42"/>
        <v/>
      </c>
      <c r="X48" s="221" t="str">
        <f t="shared" si="42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ref="R49:X49" si="43">IFERROR(INDEX(A$1:A$68,SMALL($Q$5:$Q$68,ROW(L45)),1),"")</f>
        <v/>
      </c>
      <c r="S49" t="str">
        <f t="shared" si="43"/>
        <v/>
      </c>
      <c r="T49" s="221" t="str">
        <f t="shared" si="43"/>
        <v/>
      </c>
      <c r="U49" s="221" t="str">
        <f t="shared" si="43"/>
        <v/>
      </c>
      <c r="V49" s="223" t="str">
        <f t="shared" si="43"/>
        <v/>
      </c>
      <c r="W49" s="221" t="str">
        <f t="shared" si="43"/>
        <v/>
      </c>
      <c r="X49" s="221" t="str">
        <f t="shared" si="43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ref="R50:X50" si="44">IFERROR(INDEX(A$1:A$68,SMALL($Q$5:$Q$68,ROW(L46)),1),"")</f>
        <v/>
      </c>
      <c r="S50" t="str">
        <f t="shared" si="44"/>
        <v/>
      </c>
      <c r="T50" s="221" t="str">
        <f t="shared" si="44"/>
        <v/>
      </c>
      <c r="U50" s="221" t="str">
        <f t="shared" si="44"/>
        <v/>
      </c>
      <c r="V50" s="223" t="str">
        <f t="shared" si="44"/>
        <v/>
      </c>
      <c r="W50" s="221" t="str">
        <f t="shared" si="44"/>
        <v/>
      </c>
      <c r="X50" s="221" t="str">
        <f t="shared" si="44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ref="R51:X51" si="45">IFERROR(INDEX(A$1:A$68,SMALL($Q$5:$Q$68,ROW(L47)),1),"")</f>
        <v/>
      </c>
      <c r="S51" t="str">
        <f t="shared" si="45"/>
        <v/>
      </c>
      <c r="T51" s="221" t="str">
        <f t="shared" si="45"/>
        <v/>
      </c>
      <c r="U51" s="221" t="str">
        <f t="shared" si="45"/>
        <v/>
      </c>
      <c r="V51" s="223" t="str">
        <f t="shared" si="45"/>
        <v/>
      </c>
      <c r="W51" s="221" t="str">
        <f t="shared" si="45"/>
        <v/>
      </c>
      <c r="X51" s="221" t="str">
        <f t="shared" si="4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ref="R52:X52" si="46">IFERROR(INDEX(A$1:A$68,SMALL($Q$5:$Q$68,ROW(L48)),1),"")</f>
        <v/>
      </c>
      <c r="S52" t="str">
        <f t="shared" si="46"/>
        <v/>
      </c>
      <c r="T52" s="221" t="str">
        <f t="shared" si="46"/>
        <v/>
      </c>
      <c r="U52" s="221" t="str">
        <f t="shared" si="46"/>
        <v/>
      </c>
      <c r="V52" s="223" t="str">
        <f t="shared" si="46"/>
        <v/>
      </c>
      <c r="W52" s="221" t="str">
        <f t="shared" si="46"/>
        <v/>
      </c>
      <c r="X52" s="221" t="str">
        <f t="shared" si="46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ref="R53:X53" si="47">IFERROR(INDEX(A$1:A$68,SMALL($Q$5:$Q$68,ROW(L49)),1),"")</f>
        <v/>
      </c>
      <c r="S53" t="str">
        <f t="shared" si="47"/>
        <v/>
      </c>
      <c r="T53" s="221" t="str">
        <f t="shared" si="47"/>
        <v/>
      </c>
      <c r="U53" s="221" t="str">
        <f t="shared" si="47"/>
        <v/>
      </c>
      <c r="V53" s="223" t="str">
        <f t="shared" si="47"/>
        <v/>
      </c>
      <c r="W53" s="221" t="str">
        <f t="shared" si="47"/>
        <v/>
      </c>
      <c r="X53" s="221" t="str">
        <f t="shared" si="47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ref="R54:X54" si="48">IFERROR(INDEX(A$1:A$68,SMALL($Q$5:$Q$68,ROW(L50)),1),"")</f>
        <v/>
      </c>
      <c r="S54" t="str">
        <f t="shared" si="48"/>
        <v/>
      </c>
      <c r="T54" s="221" t="str">
        <f t="shared" si="48"/>
        <v/>
      </c>
      <c r="U54" s="221" t="str">
        <f t="shared" si="48"/>
        <v/>
      </c>
      <c r="V54" s="223" t="str">
        <f t="shared" si="48"/>
        <v/>
      </c>
      <c r="W54" s="221" t="str">
        <f t="shared" si="48"/>
        <v/>
      </c>
      <c r="X54" s="221" t="str">
        <f t="shared" si="48"/>
        <v/>
      </c>
    </row>
    <row r="55" spans="1:24" s="20" customFormat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>
        <f>C55*E55</f>
        <v>87.402500000000003</v>
      </c>
      <c r="G55" s="179">
        <f>D55*E55</f>
        <v>169.5</v>
      </c>
      <c r="H55" s="24"/>
      <c r="M55" s="20" t="b">
        <f t="shared" si="1"/>
        <v>0</v>
      </c>
      <c r="Q55" s="20">
        <f t="shared" si="2"/>
        <v>55</v>
      </c>
      <c r="R55" t="str">
        <f t="shared" ref="R55:X55" si="49">IFERROR(INDEX(A$1:A$68,SMALL($Q$5:$Q$68,ROW(L51)),1),"")</f>
        <v/>
      </c>
      <c r="S55" t="str">
        <f t="shared" si="49"/>
        <v/>
      </c>
      <c r="T55" s="221" t="str">
        <f t="shared" si="49"/>
        <v/>
      </c>
      <c r="U55" s="221" t="str">
        <f t="shared" si="49"/>
        <v/>
      </c>
      <c r="V55" s="223" t="str">
        <f t="shared" si="49"/>
        <v/>
      </c>
      <c r="W55" s="221" t="str">
        <f t="shared" si="49"/>
        <v/>
      </c>
      <c r="X55" s="221" t="str">
        <f t="shared" si="49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ref="R56:X56" si="50">IFERROR(INDEX(A$1:A$68,SMALL($Q$5:$Q$68,ROW(L52)),1),"")</f>
        <v/>
      </c>
      <c r="S56" t="str">
        <f t="shared" si="50"/>
        <v/>
      </c>
      <c r="T56" s="221" t="str">
        <f t="shared" si="50"/>
        <v/>
      </c>
      <c r="U56" s="221" t="str">
        <f t="shared" si="50"/>
        <v/>
      </c>
      <c r="V56" s="223" t="str">
        <f t="shared" si="50"/>
        <v/>
      </c>
      <c r="W56" s="221" t="str">
        <f t="shared" si="50"/>
        <v/>
      </c>
      <c r="X56" s="221" t="str">
        <f t="shared" si="50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57" si="51">IFERROR(INDEX(A$1:A$68,SMALL($Q$5:$Q$68,ROW(L53)),1),"")</f>
        <v/>
      </c>
      <c r="S57" t="str">
        <f t="shared" si="51"/>
        <v/>
      </c>
      <c r="T57" s="221" t="str">
        <f t="shared" si="51"/>
        <v/>
      </c>
      <c r="U57" s="221" t="str">
        <f t="shared" si="51"/>
        <v/>
      </c>
      <c r="V57" s="223" t="str">
        <f t="shared" si="51"/>
        <v/>
      </c>
      <c r="W57" s="221" t="str">
        <f t="shared" si="51"/>
        <v/>
      </c>
      <c r="X57" s="221" t="str">
        <f t="shared" si="51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179"/>
      <c r="H58" s="24"/>
      <c r="M58" s="20" t="b">
        <f t="shared" si="1"/>
        <v>1</v>
      </c>
      <c r="Q58" s="20" t="str">
        <f t="shared" si="2"/>
        <v/>
      </c>
      <c r="R58" t="str">
        <f t="shared" ref="R58:X58" si="52">IFERROR(INDEX(A$1:A$68,SMALL($Q$5:$Q$68,ROW(L54)),1),"")</f>
        <v/>
      </c>
      <c r="S58" t="str">
        <f t="shared" si="52"/>
        <v/>
      </c>
      <c r="T58" s="221" t="str">
        <f t="shared" si="52"/>
        <v/>
      </c>
      <c r="U58" s="221" t="str">
        <f t="shared" si="52"/>
        <v/>
      </c>
      <c r="V58" s="223" t="str">
        <f t="shared" si="52"/>
        <v/>
      </c>
      <c r="W58" s="221" t="str">
        <f t="shared" si="52"/>
        <v/>
      </c>
      <c r="X58" s="221" t="str">
        <f t="shared" si="52"/>
        <v/>
      </c>
    </row>
    <row r="59" spans="1:24" s="20" customFormat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27"/>
      <c r="E59" s="23">
        <f>Kengetallen!F59</f>
        <v>0.25</v>
      </c>
      <c r="F59" s="179">
        <f>C59*E59*2</f>
        <v>29.58</v>
      </c>
      <c r="G59" s="179"/>
      <c r="H59" s="24"/>
      <c r="M59" s="20" t="b">
        <f t="shared" si="1"/>
        <v>0</v>
      </c>
      <c r="Q59" s="20">
        <f t="shared" si="2"/>
        <v>59</v>
      </c>
      <c r="R59" t="str">
        <f t="shared" ref="R59:X59" si="53">IFERROR(INDEX(A$1:A$68,SMALL($Q$5:$Q$68,ROW(L55)),1),"")</f>
        <v/>
      </c>
      <c r="S59" t="str">
        <f t="shared" si="53"/>
        <v/>
      </c>
      <c r="T59" s="221" t="str">
        <f t="shared" si="53"/>
        <v/>
      </c>
      <c r="U59" s="221" t="str">
        <f t="shared" si="53"/>
        <v/>
      </c>
      <c r="V59" s="223" t="str">
        <f t="shared" si="53"/>
        <v/>
      </c>
      <c r="W59" s="221" t="str">
        <f t="shared" si="53"/>
        <v/>
      </c>
      <c r="X59" s="221" t="str">
        <f t="shared" si="53"/>
        <v/>
      </c>
    </row>
    <row r="60" spans="1:24" s="20" customFormat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27"/>
      <c r="E60" s="23">
        <f>Kengetallen!F60</f>
        <v>0.25</v>
      </c>
      <c r="F60" s="179">
        <f>C60*E60</f>
        <v>8.0675000000000008</v>
      </c>
      <c r="G60" s="179"/>
      <c r="H60" s="24"/>
      <c r="M60" s="20" t="b">
        <f t="shared" si="1"/>
        <v>0</v>
      </c>
      <c r="Q60" s="20">
        <f t="shared" si="2"/>
        <v>60</v>
      </c>
      <c r="R60" t="str">
        <f t="shared" ref="R60:X60" si="54">IFERROR(INDEX(A$1:A$68,SMALL($Q$5:$Q$68,ROW(L56)),1),"")</f>
        <v/>
      </c>
      <c r="S60" t="str">
        <f t="shared" si="54"/>
        <v/>
      </c>
      <c r="T60" s="221" t="str">
        <f t="shared" si="54"/>
        <v/>
      </c>
      <c r="U60" s="221" t="str">
        <f t="shared" si="54"/>
        <v/>
      </c>
      <c r="V60" s="223" t="str">
        <f t="shared" si="54"/>
        <v/>
      </c>
      <c r="W60" s="221" t="str">
        <f t="shared" si="54"/>
        <v/>
      </c>
      <c r="X60" s="221" t="str">
        <f t="shared" si="54"/>
        <v/>
      </c>
    </row>
    <row r="61" spans="1:24" s="20" customFormat="1" ht="30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>
        <f>C61*E61</f>
        <v>13.4475</v>
      </c>
      <c r="G61" s="179">
        <f>D61*E61</f>
        <v>12.75</v>
      </c>
      <c r="H61" s="24"/>
      <c r="M61" s="20" t="b">
        <f t="shared" si="1"/>
        <v>0</v>
      </c>
      <c r="Q61" s="20">
        <f t="shared" si="2"/>
        <v>61</v>
      </c>
      <c r="R61" t="str">
        <f t="shared" ref="R61:X61" si="55">IFERROR(INDEX(A$1:A$68,SMALL($Q$5:$Q$68,ROW(L57)),1),"")</f>
        <v/>
      </c>
      <c r="S61" t="str">
        <f t="shared" si="55"/>
        <v/>
      </c>
      <c r="T61" s="221" t="str">
        <f t="shared" si="55"/>
        <v/>
      </c>
      <c r="U61" s="221" t="str">
        <f t="shared" si="55"/>
        <v/>
      </c>
      <c r="V61" s="223" t="str">
        <f t="shared" si="55"/>
        <v/>
      </c>
      <c r="W61" s="221" t="str">
        <f t="shared" si="55"/>
        <v/>
      </c>
      <c r="X61" s="221" t="str">
        <f t="shared" si="55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ref="R62:X62" si="56">IFERROR(INDEX(A$1:A$68,SMALL($Q$5:$Q$68,ROW(L58)),1),"")</f>
        <v/>
      </c>
      <c r="S62" t="str">
        <f t="shared" si="56"/>
        <v/>
      </c>
      <c r="T62" s="221" t="str">
        <f t="shared" si="56"/>
        <v/>
      </c>
      <c r="U62" s="221" t="str">
        <f t="shared" si="56"/>
        <v/>
      </c>
      <c r="V62" s="223" t="str">
        <f t="shared" si="56"/>
        <v/>
      </c>
      <c r="W62" s="221" t="str">
        <f t="shared" si="56"/>
        <v/>
      </c>
      <c r="X62" s="221" t="str">
        <f t="shared" si="5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ref="R63:X63" si="57">IFERROR(INDEX(A$1:A$68,SMALL($Q$5:$Q$68,ROW(L59)),1),"")</f>
        <v/>
      </c>
      <c r="S63" t="str">
        <f t="shared" si="57"/>
        <v/>
      </c>
      <c r="T63" s="221" t="str">
        <f t="shared" si="57"/>
        <v/>
      </c>
      <c r="U63" s="221" t="str">
        <f t="shared" si="57"/>
        <v/>
      </c>
      <c r="V63" s="223" t="str">
        <f t="shared" si="57"/>
        <v/>
      </c>
      <c r="W63" s="221" t="str">
        <f t="shared" si="57"/>
        <v/>
      </c>
      <c r="X63" s="221" t="str">
        <f t="shared" si="57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ref="R64:X64" si="58">IFERROR(INDEX(A$1:A$68,SMALL($Q$5:$Q$68,ROW(L60)),1),"")</f>
        <v/>
      </c>
      <c r="S64" t="str">
        <f t="shared" si="58"/>
        <v/>
      </c>
      <c r="T64" s="221" t="str">
        <f t="shared" si="58"/>
        <v/>
      </c>
      <c r="U64" s="221" t="str">
        <f t="shared" si="58"/>
        <v/>
      </c>
      <c r="V64" s="223" t="str">
        <f t="shared" si="58"/>
        <v/>
      </c>
      <c r="W64" s="221" t="str">
        <f t="shared" si="58"/>
        <v/>
      </c>
      <c r="X64" s="221" t="str">
        <f t="shared" si="58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ref="R65:X65" si="59">IFERROR(INDEX(A$1:A$68,SMALL($Q$5:$Q$68,ROW(L61)),1),"")</f>
        <v/>
      </c>
      <c r="S65" t="str">
        <f t="shared" si="59"/>
        <v/>
      </c>
      <c r="T65" s="221" t="str">
        <f t="shared" si="59"/>
        <v/>
      </c>
      <c r="U65" s="221" t="str">
        <f t="shared" si="59"/>
        <v/>
      </c>
      <c r="V65" s="223" t="str">
        <f t="shared" si="59"/>
        <v/>
      </c>
      <c r="W65" s="221" t="str">
        <f t="shared" si="59"/>
        <v/>
      </c>
      <c r="X65" s="221" t="str">
        <f t="shared" si="59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ref="R66:X66" si="60">IFERROR(INDEX(A$1:A$68,SMALL($Q$5:$Q$68,ROW(L62)),1),"")</f>
        <v/>
      </c>
      <c r="S66" t="str">
        <f t="shared" si="60"/>
        <v/>
      </c>
      <c r="T66" s="221" t="str">
        <f t="shared" si="60"/>
        <v/>
      </c>
      <c r="U66" s="221" t="str">
        <f t="shared" si="60"/>
        <v/>
      </c>
      <c r="V66" s="223" t="str">
        <f t="shared" si="60"/>
        <v/>
      </c>
      <c r="W66" s="221" t="str">
        <f t="shared" si="60"/>
        <v/>
      </c>
      <c r="X66" s="221" t="str">
        <f t="shared" si="60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ref="R67:X67" si="61">IFERROR(INDEX(A$1:A$68,SMALL($Q$5:$Q$68,ROW(L63)),1),"")</f>
        <v/>
      </c>
      <c r="S67" t="str">
        <f t="shared" si="61"/>
        <v/>
      </c>
      <c r="T67" s="221" t="str">
        <f t="shared" si="61"/>
        <v/>
      </c>
      <c r="U67" s="221" t="str">
        <f t="shared" si="61"/>
        <v/>
      </c>
      <c r="V67" s="223" t="str">
        <f t="shared" si="61"/>
        <v/>
      </c>
      <c r="W67" s="221" t="str">
        <f t="shared" si="61"/>
        <v/>
      </c>
      <c r="X67" s="221" t="str">
        <f t="shared" si="61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ref="R68:X68" si="62">IFERROR(INDEX(A$1:A$68,SMALL($Q$5:$Q$68,ROW(L64)),1),"")</f>
        <v/>
      </c>
      <c r="S68" t="str">
        <f t="shared" si="62"/>
        <v/>
      </c>
      <c r="T68" s="221" t="str">
        <f t="shared" si="62"/>
        <v/>
      </c>
      <c r="U68" s="221" t="str">
        <f t="shared" si="62"/>
        <v/>
      </c>
      <c r="V68" s="223" t="str">
        <f t="shared" si="62"/>
        <v/>
      </c>
      <c r="W68" s="221" t="str">
        <f t="shared" si="62"/>
        <v/>
      </c>
      <c r="X68" s="221" t="str">
        <f t="shared" si="62"/>
        <v/>
      </c>
    </row>
    <row r="69" spans="1:24">
      <c r="I69" s="297" t="s">
        <v>644</v>
      </c>
    </row>
    <row r="70" spans="1:24">
      <c r="I70" s="297"/>
    </row>
    <row r="71" spans="1:24">
      <c r="I71" s="297"/>
    </row>
  </sheetData>
  <sheetProtection sheet="1" objects="1" scenarios="1"/>
  <autoFilter ref="M1:M71">
    <filterColumn colId="0">
      <filters>
        <filter val="ONWAAR"/>
      </filters>
    </filterColumn>
  </autoFilter>
  <mergeCells count="7">
    <mergeCell ref="K2:K3"/>
    <mergeCell ref="L2:L3"/>
    <mergeCell ref="I69:I71"/>
    <mergeCell ref="A1:B1"/>
    <mergeCell ref="F1:H1"/>
    <mergeCell ref="F2:H2"/>
    <mergeCell ref="J2:J3"/>
  </mergeCells>
  <phoneticPr fontId="26" type="noConversion"/>
  <hyperlinks>
    <hyperlink ref="I69:I71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70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572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SUM(C28)</f>
        <v>307.76</v>
      </c>
      <c r="D4" s="14">
        <f>SUM(D28)</f>
        <v>1096.8800000000001</v>
      </c>
      <c r="E4" s="10"/>
      <c r="F4" s="14">
        <f>SUM(F28)</f>
        <v>24.620799999999999</v>
      </c>
      <c r="G4" s="14">
        <f>SUM(G28)</f>
        <v>87.750400000000013</v>
      </c>
      <c r="H4" s="175">
        <f>SUM(F4,G4)</f>
        <v>112.37120000000002</v>
      </c>
      <c r="I4" s="5">
        <f>F4/(Kengetallen!C4)</f>
        <v>1.2279700748129676</v>
      </c>
      <c r="J4" s="1">
        <v>84</v>
      </c>
      <c r="K4" s="15">
        <f>ROUNDUP(J4-I4,1)</f>
        <v>82.8</v>
      </c>
      <c r="L4" s="16">
        <f>D4-G4</f>
        <v>1009.1296000000001</v>
      </c>
      <c r="M4" t="b">
        <f>ISBLANK(F4)</f>
        <v>0</v>
      </c>
      <c r="W4" s="216">
        <f>SUM(W5:W68)</f>
        <v>24.620799999999999</v>
      </c>
      <c r="X4" s="216">
        <f>SUM(X5:X68)</f>
        <v>87.750400000000013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J52</v>
      </c>
      <c r="S5" t="str">
        <f t="shared" si="0"/>
        <v>Boven-klikgebit, 4 implantaten bovenkaak met drukknoppen</v>
      </c>
      <c r="T5" s="221">
        <f t="shared" si="0"/>
        <v>307.76</v>
      </c>
      <c r="U5" s="221">
        <f t="shared" si="0"/>
        <v>1096.8800000000001</v>
      </c>
      <c r="V5" s="223">
        <f t="shared" si="0"/>
        <v>0.08</v>
      </c>
      <c r="W5" s="221">
        <f t="shared" si="0"/>
        <v>24.620799999999999</v>
      </c>
      <c r="X5" s="221">
        <f t="shared" si="0"/>
        <v>87.750400000000013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27"/>
      <c r="E6" s="23">
        <f>Kengetallen!G5</f>
        <v>0.08</v>
      </c>
      <c r="F6" s="179"/>
      <c r="G6" s="179">
        <f>D6*E6</f>
        <v>0</v>
      </c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/>
      </c>
      <c r="S6" t="str">
        <f t="shared" si="0"/>
        <v/>
      </c>
      <c r="T6" s="221" t="str">
        <f t="shared" si="0"/>
        <v/>
      </c>
      <c r="U6" s="221" t="str">
        <f t="shared" si="0"/>
        <v/>
      </c>
      <c r="V6" s="223" t="str">
        <f t="shared" si="0"/>
        <v/>
      </c>
      <c r="W6" s="221" t="str">
        <f t="shared" si="0"/>
        <v/>
      </c>
      <c r="X6" s="221" t="str">
        <f t="shared" si="0"/>
        <v/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27"/>
      <c r="E7" s="23">
        <f>Kengetallen!G6</f>
        <v>0.08</v>
      </c>
      <c r="F7" s="179"/>
      <c r="G7" s="179">
        <f>D7*E7*22</f>
        <v>0</v>
      </c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179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>
        <f>C28*E28</f>
        <v>24.620799999999999</v>
      </c>
      <c r="G28" s="179">
        <f>D28*E28</f>
        <v>87.750400000000013</v>
      </c>
      <c r="H28" s="24"/>
      <c r="M28" s="20" t="b">
        <f t="shared" si="1"/>
        <v>0</v>
      </c>
      <c r="Q28" s="20">
        <f t="shared" si="2"/>
        <v>28</v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  <row r="70" spans="1:24" ht="45">
      <c r="I70" s="197" t="s">
        <v>644</v>
      </c>
    </row>
  </sheetData>
  <sheetProtection sheet="1" objects="1" scenarios="1"/>
  <autoFilter ref="M1:M70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  <hyperlink ref="I70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A103"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633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SUM(C8,C9,C26)</f>
        <v>734.97</v>
      </c>
      <c r="D4" s="14">
        <f>SUM(D8,D9,D26)</f>
        <v>4010.08</v>
      </c>
      <c r="E4" s="10"/>
      <c r="F4" s="14">
        <f>SUM(F8,F9,F26)</f>
        <v>58.797600000000003</v>
      </c>
      <c r="G4" s="14">
        <f>SUM(G8,G9,G26)</f>
        <v>320.8064</v>
      </c>
      <c r="H4" s="175">
        <f>SUM(F4,G4)</f>
        <v>379.60399999999998</v>
      </c>
      <c r="I4" s="5">
        <f>F4/(Kengetallen!C4)</f>
        <v>2.9325486284289277</v>
      </c>
      <c r="J4" s="1">
        <v>84</v>
      </c>
      <c r="K4" s="15">
        <f>ROUNDUP(J4-I4,1)</f>
        <v>81.099999999999994</v>
      </c>
      <c r="L4" s="16">
        <f>D4-G4</f>
        <v>3689.2736</v>
      </c>
      <c r="M4" t="b">
        <f>ISBLANK(F4)</f>
        <v>0</v>
      </c>
      <c r="W4" s="216">
        <f>SUM(W5:W68)</f>
        <v>58.797600000000003</v>
      </c>
      <c r="X4" s="216">
        <f>SUM(X5:X68)</f>
        <v>320.8064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J42</v>
      </c>
      <c r="S5" t="str">
        <f t="shared" si="0"/>
        <v>Staaf tussen twee implantaten</v>
      </c>
      <c r="T5" s="221">
        <f t="shared" si="0"/>
        <v>188.33</v>
      </c>
      <c r="U5" s="221">
        <f t="shared" si="0"/>
        <v>1024.58</v>
      </c>
      <c r="V5" s="223">
        <f t="shared" si="0"/>
        <v>0.08</v>
      </c>
      <c r="W5" s="221">
        <f t="shared" si="0"/>
        <v>15.066400000000002</v>
      </c>
      <c r="X5" s="221">
        <f t="shared" si="0"/>
        <v>81.966399999999993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J43</v>
      </c>
      <c r="S6" t="str">
        <f t="shared" si="0"/>
        <v>Elke volgende staaf tussen implantaten in dezelfde kaak</v>
      </c>
      <c r="T6" s="221">
        <f t="shared" si="0"/>
        <v>238.88</v>
      </c>
      <c r="U6" s="221">
        <f t="shared" si="0"/>
        <v>1879.16</v>
      </c>
      <c r="V6" s="223">
        <f t="shared" si="0"/>
        <v>0.08</v>
      </c>
      <c r="W6" s="221">
        <f t="shared" si="0"/>
        <v>19.110399999999998</v>
      </c>
      <c r="X6" s="221">
        <f t="shared" si="0"/>
        <v>150.33280000000002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>J52</v>
      </c>
      <c r="S7" t="str">
        <f t="shared" si="0"/>
        <v>Boven-klikgebit, 6 implantaten bovenkaak met staaf</v>
      </c>
      <c r="T7" s="221">
        <f t="shared" si="0"/>
        <v>307.76</v>
      </c>
      <c r="U7" s="221">
        <f t="shared" si="0"/>
        <v>1106.3399999999999</v>
      </c>
      <c r="V7" s="223">
        <f t="shared" si="0"/>
        <v>0.08</v>
      </c>
      <c r="W7" s="221">
        <f t="shared" si="0"/>
        <v>24.620799999999999</v>
      </c>
      <c r="X7" s="221">
        <f t="shared" si="0"/>
        <v>88.507199999999997</v>
      </c>
    </row>
    <row r="8" spans="1:24" s="20" customFormat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Kengetallen!G7</f>
        <v>0.08</v>
      </c>
      <c r="F8" s="179">
        <f>C8*E8</f>
        <v>15.066400000000002</v>
      </c>
      <c r="G8" s="179">
        <f>D8*E8</f>
        <v>81.966399999999993</v>
      </c>
      <c r="H8" s="24"/>
      <c r="M8" s="20" t="b">
        <f t="shared" si="1"/>
        <v>0</v>
      </c>
      <c r="Q8" s="20">
        <f t="shared" si="2"/>
        <v>8</v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Kengetallen!C8*4</f>
        <v>238.88</v>
      </c>
      <c r="D9" s="174">
        <f>Kengetallen!D8*4</f>
        <v>1879.16</v>
      </c>
      <c r="E9" s="23">
        <f>Kengetallen!G8</f>
        <v>0.08</v>
      </c>
      <c r="F9" s="179">
        <f>C9*E9</f>
        <v>19.110399999999998</v>
      </c>
      <c r="G9" s="179">
        <f>D9*E9</f>
        <v>150.33280000000002</v>
      </c>
      <c r="H9" s="24"/>
      <c r="M9" s="20" t="b">
        <f t="shared" si="1"/>
        <v>0</v>
      </c>
      <c r="Q9" s="20">
        <f t="shared" si="2"/>
        <v>9</v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179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>
        <f>C26*E26</f>
        <v>24.620799999999999</v>
      </c>
      <c r="G26" s="179">
        <f>D26*E26</f>
        <v>88.507199999999997</v>
      </c>
      <c r="H26" s="24"/>
      <c r="M26" s="20" t="b">
        <f t="shared" si="1"/>
        <v>0</v>
      </c>
      <c r="Q26" s="20">
        <f t="shared" si="2"/>
        <v>26</v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634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SUM(C8,C9,C27)</f>
        <v>734.97</v>
      </c>
      <c r="D4" s="14">
        <f>SUM(D8,D9,D27)</f>
        <v>4140.08</v>
      </c>
      <c r="E4" s="10"/>
      <c r="F4" s="14">
        <f>SUM(F8,F9,F27)</f>
        <v>58.797600000000003</v>
      </c>
      <c r="G4" s="14">
        <f>SUM(G8,G9,G27)</f>
        <v>331.20640000000003</v>
      </c>
      <c r="H4" s="175">
        <f>SUM(F4,G4)</f>
        <v>390.00400000000002</v>
      </c>
      <c r="I4" s="5">
        <f>F4/(Kengetallen!C4)</f>
        <v>2.9325486284289277</v>
      </c>
      <c r="J4" s="1">
        <v>84</v>
      </c>
      <c r="K4" s="15">
        <f>ROUNDUP(J4-I4,1)</f>
        <v>81.099999999999994</v>
      </c>
      <c r="L4" s="16">
        <f>D4-G4</f>
        <v>3808.8735999999999</v>
      </c>
      <c r="M4" t="b">
        <f>ISBLANK(F4)</f>
        <v>0</v>
      </c>
      <c r="W4" s="216">
        <f>SUM(W5:W68)</f>
        <v>58.797600000000003</v>
      </c>
      <c r="X4" s="216">
        <f>SUM(X5:X68)</f>
        <v>331.20640000000003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J42</v>
      </c>
      <c r="S5" t="str">
        <f t="shared" si="0"/>
        <v>Staaf tussen twee implantaten</v>
      </c>
      <c r="T5" s="221">
        <f t="shared" si="0"/>
        <v>188.33</v>
      </c>
      <c r="U5" s="221">
        <f t="shared" si="0"/>
        <v>1024.58</v>
      </c>
      <c r="V5" s="223">
        <f t="shared" si="0"/>
        <v>0.08</v>
      </c>
      <c r="W5" s="221">
        <f t="shared" si="0"/>
        <v>15.066400000000002</v>
      </c>
      <c r="X5" s="221">
        <f t="shared" si="0"/>
        <v>81.966399999999993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J43</v>
      </c>
      <c r="S6" t="str">
        <f t="shared" si="0"/>
        <v>Elke volgende staaf tussen implantaten in dezelfde kaak</v>
      </c>
      <c r="T6" s="221">
        <f t="shared" si="0"/>
        <v>238.88</v>
      </c>
      <c r="U6" s="221">
        <f t="shared" si="0"/>
        <v>1879.16</v>
      </c>
      <c r="V6" s="223">
        <f t="shared" si="0"/>
        <v>0.08</v>
      </c>
      <c r="W6" s="221">
        <f t="shared" si="0"/>
        <v>19.110399999999998</v>
      </c>
      <c r="X6" s="221">
        <f t="shared" si="0"/>
        <v>150.33280000000002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>J52</v>
      </c>
      <c r="S7" t="str">
        <f t="shared" si="0"/>
        <v>Boven-klikgebit, 6 implantaten bovenkaak met staaf en metaalversteviging</v>
      </c>
      <c r="T7" s="221">
        <f t="shared" si="0"/>
        <v>307.76</v>
      </c>
      <c r="U7" s="221">
        <f t="shared" si="0"/>
        <v>1236.3399999999999</v>
      </c>
      <c r="V7" s="223">
        <f t="shared" si="0"/>
        <v>0.08</v>
      </c>
      <c r="W7" s="221">
        <f t="shared" si="0"/>
        <v>24.620799999999999</v>
      </c>
      <c r="X7" s="221">
        <f t="shared" si="0"/>
        <v>98.907199999999989</v>
      </c>
    </row>
    <row r="8" spans="1:24" s="20" customFormat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Kengetallen!G7</f>
        <v>0.08</v>
      </c>
      <c r="F8" s="179">
        <f>C8*E8</f>
        <v>15.066400000000002</v>
      </c>
      <c r="G8" s="179">
        <f>D8*E8</f>
        <v>81.966399999999993</v>
      </c>
      <c r="H8" s="24"/>
      <c r="M8" s="20" t="b">
        <f t="shared" si="1"/>
        <v>0</v>
      </c>
      <c r="Q8" s="20">
        <f t="shared" si="2"/>
        <v>8</v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Kengetallen!C8*4</f>
        <v>238.88</v>
      </c>
      <c r="D9" s="174">
        <f>Kengetallen!D8*4</f>
        <v>1879.16</v>
      </c>
      <c r="E9" s="23">
        <f>Kengetallen!G8</f>
        <v>0.08</v>
      </c>
      <c r="F9" s="179">
        <f>C9*E9</f>
        <v>19.110399999999998</v>
      </c>
      <c r="G9" s="179">
        <f>D9*E9</f>
        <v>150.33280000000002</v>
      </c>
      <c r="H9" s="24"/>
      <c r="M9" s="20" t="b">
        <f t="shared" si="1"/>
        <v>0</v>
      </c>
      <c r="Q9" s="20">
        <f t="shared" si="2"/>
        <v>9</v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179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179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>
        <f>C27*E27</f>
        <v>24.620799999999999</v>
      </c>
      <c r="G27" s="179">
        <f>D27*E27</f>
        <v>98.907199999999989</v>
      </c>
      <c r="H27" s="24"/>
      <c r="M27" s="20" t="b">
        <f t="shared" si="1"/>
        <v>0</v>
      </c>
      <c r="Q27" s="20">
        <f t="shared" si="2"/>
        <v>27</v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635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SUM(C26,C39)</f>
        <v>431.78</v>
      </c>
      <c r="D4" s="14">
        <f>SUM(D26,D39)</f>
        <v>1106.3399999999999</v>
      </c>
      <c r="E4" s="10"/>
      <c r="F4" s="14">
        <f>SUM(F26,F39)</f>
        <v>34.542400000000001</v>
      </c>
      <c r="G4" s="14">
        <f>SUM(G26,G39)</f>
        <v>88.507199999999997</v>
      </c>
      <c r="H4" s="175">
        <f>SUM(F4,G4)</f>
        <v>123.0496</v>
      </c>
      <c r="I4" s="5">
        <f>F4/(Kengetallen!C4)</f>
        <v>1.7228129675810473</v>
      </c>
      <c r="J4" s="1">
        <v>84</v>
      </c>
      <c r="K4" s="15">
        <f>ROUNDUP(J4-I4,1)</f>
        <v>82.3</v>
      </c>
      <c r="L4" s="16">
        <f>D4-G4</f>
        <v>1017.8327999999999</v>
      </c>
      <c r="M4" t="b">
        <f>ISBLANK(F4)</f>
        <v>0</v>
      </c>
      <c r="W4" s="216">
        <f>SUM(W5:W68)</f>
        <v>34.542400000000001</v>
      </c>
      <c r="X4" s="216">
        <f>SUM(X5:X68)</f>
        <v>88.507199999999997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J52</v>
      </c>
      <c r="S5" t="str">
        <f t="shared" si="0"/>
        <v>Boven-klikgebit, 6 implantaten bovenkaak met staaf</v>
      </c>
      <c r="T5" s="221">
        <f t="shared" si="0"/>
        <v>307.76</v>
      </c>
      <c r="U5" s="221">
        <f t="shared" si="0"/>
        <v>1106.3399999999999</v>
      </c>
      <c r="V5" s="223">
        <f t="shared" si="0"/>
        <v>0.08</v>
      </c>
      <c r="W5" s="221">
        <f t="shared" si="0"/>
        <v>24.620799999999999</v>
      </c>
      <c r="X5" s="221">
        <f t="shared" si="0"/>
        <v>88.507199999999997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J59</v>
      </c>
      <c r="S6" t="str">
        <f t="shared" si="0"/>
        <v>Toeslag vervangings- klikgebit op bestaande stegcontructie tussen meer dan 4 implantaten</v>
      </c>
      <c r="T6" s="221">
        <f t="shared" si="0"/>
        <v>124.02</v>
      </c>
      <c r="U6" s="221">
        <f t="shared" si="0"/>
        <v>0</v>
      </c>
      <c r="V6" s="223">
        <f t="shared" si="0"/>
        <v>0.08</v>
      </c>
      <c r="W6" s="221">
        <f t="shared" si="0"/>
        <v>9.9215999999999998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27"/>
      <c r="E8" s="23">
        <f>Kengetallen!G7</f>
        <v>0.08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27"/>
      <c r="E9" s="23">
        <f>Kengetallen!G8</f>
        <v>0.08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179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>
        <f>C26*E26</f>
        <v>24.620799999999999</v>
      </c>
      <c r="G26" s="179">
        <f>D26*E26</f>
        <v>88.507199999999997</v>
      </c>
      <c r="H26" s="24"/>
      <c r="M26" s="20" t="b">
        <f t="shared" si="1"/>
        <v>0</v>
      </c>
      <c r="Q26" s="20">
        <f t="shared" si="2"/>
        <v>26</v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Kengetallen!G38</f>
        <v>0.08</v>
      </c>
      <c r="F39" s="179">
        <f>C39*E39</f>
        <v>9.9215999999999998</v>
      </c>
      <c r="G39" s="179">
        <f>D39*E39</f>
        <v>0</v>
      </c>
      <c r="H39" s="24"/>
      <c r="M39" s="20" t="b">
        <f t="shared" si="1"/>
        <v>0</v>
      </c>
      <c r="Q39" s="20">
        <f t="shared" si="2"/>
        <v>39</v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activeCell="Q1" sqref="Q1:X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676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SUM(C27,C39)</f>
        <v>431.78</v>
      </c>
      <c r="D4" s="14">
        <f>SUM(D27,D39)</f>
        <v>1236.3399999999999</v>
      </c>
      <c r="E4" s="10"/>
      <c r="F4" s="14">
        <f>SUM(F27,F39)</f>
        <v>34.542400000000001</v>
      </c>
      <c r="G4" s="14">
        <f>SUM(G27,G39)</f>
        <v>98.907199999999989</v>
      </c>
      <c r="H4" s="175">
        <f>SUM(F4,G4)</f>
        <v>133.44959999999998</v>
      </c>
      <c r="I4" s="5">
        <f>F4/(Kengetallen!C4)</f>
        <v>1.7228129675810473</v>
      </c>
      <c r="J4" s="1">
        <v>84</v>
      </c>
      <c r="K4" s="15">
        <f>ROUNDUP(J4-I4,1)</f>
        <v>82.3</v>
      </c>
      <c r="L4" s="16">
        <f>D4-G4</f>
        <v>1137.4328</v>
      </c>
      <c r="M4" t="b">
        <f>ISBLANK(F4)</f>
        <v>0</v>
      </c>
      <c r="W4" s="216">
        <f>SUM(W5:W68)</f>
        <v>34.542400000000001</v>
      </c>
      <c r="X4" s="216">
        <f>SUM(X5:X68)</f>
        <v>98.907199999999989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J52</v>
      </c>
      <c r="S5" t="str">
        <f t="shared" si="0"/>
        <v>Boven-klikgebit, 6 implantaten bovenkaak met staaf en metaalversteviging</v>
      </c>
      <c r="T5" s="221">
        <f t="shared" si="0"/>
        <v>307.76</v>
      </c>
      <c r="U5" s="221">
        <f t="shared" si="0"/>
        <v>1236.3399999999999</v>
      </c>
      <c r="V5" s="223">
        <f t="shared" si="0"/>
        <v>0.08</v>
      </c>
      <c r="W5" s="221">
        <f t="shared" si="0"/>
        <v>24.620799999999999</v>
      </c>
      <c r="X5" s="221">
        <f t="shared" si="0"/>
        <v>98.907199999999989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J59</v>
      </c>
      <c r="S6" t="str">
        <f t="shared" si="0"/>
        <v>Toeslag vervangings- klikgebit op bestaande stegcontructie tussen meer dan 4 implantaten</v>
      </c>
      <c r="T6" s="221">
        <f t="shared" si="0"/>
        <v>124.02</v>
      </c>
      <c r="U6" s="221">
        <f t="shared" si="0"/>
        <v>0</v>
      </c>
      <c r="V6" s="223">
        <f t="shared" si="0"/>
        <v>0.08</v>
      </c>
      <c r="W6" s="221">
        <f t="shared" si="0"/>
        <v>9.9215999999999998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27"/>
      <c r="E8" s="23">
        <f>Kengetallen!G7</f>
        <v>0.08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27"/>
      <c r="E9" s="23">
        <f>Kengetallen!G8</f>
        <v>0.08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179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179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>
        <f>C27*E27</f>
        <v>24.620799999999999</v>
      </c>
      <c r="G27" s="179">
        <f>D27*E27</f>
        <v>98.907199999999989</v>
      </c>
      <c r="H27" s="24"/>
      <c r="M27" s="20" t="b">
        <f t="shared" si="1"/>
        <v>0</v>
      </c>
      <c r="Q27" s="20">
        <f t="shared" si="2"/>
        <v>27</v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Kengetallen!G38</f>
        <v>0.08</v>
      </c>
      <c r="F39" s="179">
        <f>C39*E39</f>
        <v>9.9215999999999998</v>
      </c>
      <c r="G39" s="179">
        <f>D39*E39</f>
        <v>0</v>
      </c>
      <c r="H39" s="24"/>
      <c r="M39" s="20" t="b">
        <f t="shared" si="1"/>
        <v>0</v>
      </c>
      <c r="Q39" s="20">
        <f t="shared" si="2"/>
        <v>39</v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19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workbookViewId="0">
      <selection sqref="A1:B1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4" width="0" hidden="1" customWidth="1"/>
  </cols>
  <sheetData>
    <row r="1" spans="1:24" ht="43.35" customHeight="1">
      <c r="A1" s="298" t="s">
        <v>677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20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SUM(C6,C7,C29)</f>
        <v>482.3</v>
      </c>
      <c r="D4" s="14">
        <f>SUM(D6,D7,D29)</f>
        <v>1795.32</v>
      </c>
      <c r="E4" s="10"/>
      <c r="F4" s="14">
        <f>SUM(F6,F7,F29)</f>
        <v>46.297600000000003</v>
      </c>
      <c r="G4" s="14">
        <f>SUM(G6,G7,G29)</f>
        <v>177.22559999999999</v>
      </c>
      <c r="H4" s="175">
        <f>SUM(F4,G4)</f>
        <v>223.52319999999997</v>
      </c>
      <c r="I4" s="5">
        <f>F4/(Kengetallen!C4)</f>
        <v>2.3091072319201995</v>
      </c>
      <c r="J4" s="1">
        <v>84</v>
      </c>
      <c r="K4" s="15">
        <f>ROUNDUP(J4-I4,1)</f>
        <v>81.699999999999989</v>
      </c>
      <c r="L4" s="16">
        <f>D4-G4</f>
        <v>1618.0944</v>
      </c>
      <c r="M4" t="b">
        <f>ISBLANK(F4)</f>
        <v>0</v>
      </c>
      <c r="W4" s="216">
        <f>SUM(W5:W68)</f>
        <v>46.297600000000003</v>
      </c>
      <c r="X4" s="216">
        <f>SUM(X5:X68)</f>
        <v>177.22559999999999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J40</v>
      </c>
      <c r="S5" t="str">
        <f t="shared" si="0"/>
        <v>Twee magneten/drukknoppen</v>
      </c>
      <c r="T5" s="221">
        <f t="shared" si="0"/>
        <v>142.4</v>
      </c>
      <c r="U5" s="221">
        <f t="shared" si="0"/>
        <v>280</v>
      </c>
      <c r="V5" s="223">
        <f t="shared" si="0"/>
        <v>0.08</v>
      </c>
      <c r="W5" s="221">
        <f t="shared" si="0"/>
        <v>11.392000000000001</v>
      </c>
      <c r="X5" s="221">
        <f t="shared" si="0"/>
        <v>22.400000000000002</v>
      </c>
    </row>
    <row r="6" spans="1:24" s="20" customFormat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Kengetallen!G5</f>
        <v>0.08</v>
      </c>
      <c r="F6" s="179">
        <f>C6*E6</f>
        <v>11.392000000000001</v>
      </c>
      <c r="G6" s="179">
        <f>D6*E6</f>
        <v>22.400000000000002</v>
      </c>
      <c r="H6" s="24"/>
      <c r="M6" s="20" t="b">
        <f t="shared" ref="M6:M68" si="1">ISBLANK(F6)</f>
        <v>0</v>
      </c>
      <c r="Q6" s="20">
        <f t="shared" ref="Q6:Q68" si="2">IF(F6&gt;0,ROW(),"")</f>
        <v>6</v>
      </c>
      <c r="R6" t="str">
        <f t="shared" si="0"/>
        <v>J41</v>
      </c>
      <c r="S6" t="str">
        <f t="shared" si="0"/>
        <v>Elke volgende magneet, drukknop</v>
      </c>
      <c r="T6" s="221">
        <f t="shared" si="0"/>
        <v>32.14</v>
      </c>
      <c r="U6" s="221">
        <f t="shared" si="0"/>
        <v>140</v>
      </c>
      <c r="V6" s="223">
        <f t="shared" si="0"/>
        <v>0.08</v>
      </c>
      <c r="W6" s="221">
        <f t="shared" si="0"/>
        <v>10.284800000000001</v>
      </c>
      <c r="X6" s="221">
        <f t="shared" si="0"/>
        <v>44.800000000000004</v>
      </c>
    </row>
    <row r="7" spans="1:24" s="20" customFormat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Kengetallen!G6</f>
        <v>0.08</v>
      </c>
      <c r="F7" s="179">
        <f>C7*E7*4</f>
        <v>10.284800000000001</v>
      </c>
      <c r="G7" s="179">
        <f>D7*E7*4</f>
        <v>44.800000000000004</v>
      </c>
      <c r="H7" s="24"/>
      <c r="M7" s="20" t="b">
        <f t="shared" si="1"/>
        <v>0</v>
      </c>
      <c r="Q7" s="20">
        <f t="shared" si="2"/>
        <v>7</v>
      </c>
      <c r="R7" t="str">
        <f t="shared" si="0"/>
        <v>J52</v>
      </c>
      <c r="S7" t="str">
        <f t="shared" si="0"/>
        <v>Boven-klikgebit, 6 implantaten bovenkaak met drukknoppen</v>
      </c>
      <c r="T7" s="221">
        <f t="shared" si="0"/>
        <v>307.76</v>
      </c>
      <c r="U7" s="221">
        <f t="shared" si="0"/>
        <v>1375.32</v>
      </c>
      <c r="V7" s="223">
        <f t="shared" si="0"/>
        <v>0.08</v>
      </c>
      <c r="W7" s="221">
        <f t="shared" si="0"/>
        <v>24.620799999999999</v>
      </c>
      <c r="X7" s="221">
        <f t="shared" si="0"/>
        <v>110.0256</v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179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179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>
        <f>C29*E29</f>
        <v>24.620799999999999</v>
      </c>
      <c r="G29" s="179">
        <f>D29*E29</f>
        <v>110.0256</v>
      </c>
      <c r="H29" s="24"/>
      <c r="M29" s="20" t="b">
        <f t="shared" si="1"/>
        <v>0</v>
      </c>
      <c r="Q29" s="20">
        <f t="shared" si="2"/>
        <v>29</v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20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69"/>
  <sheetViews>
    <sheetView topLeftCell="C1" workbookViewId="0">
      <selection activeCell="Q1" sqref="Q1:Y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7" max="21" width="0" hidden="1" customWidth="1"/>
    <col min="22" max="22" width="0" style="223" hidden="1" customWidth="1"/>
    <col min="23" max="25" width="0" hidden="1" customWidth="1"/>
  </cols>
  <sheetData>
    <row r="1" spans="1:24" ht="43.35" customHeight="1">
      <c r="A1" s="298" t="s">
        <v>678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20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SUM(C29)</f>
        <v>307.76</v>
      </c>
      <c r="D4" s="14">
        <f>SUM(D29)</f>
        <v>1375.32</v>
      </c>
      <c r="E4" s="10"/>
      <c r="F4" s="14">
        <f>SUM(F29)</f>
        <v>24.620799999999999</v>
      </c>
      <c r="G4" s="14">
        <f>SUM(G29)</f>
        <v>110.0256</v>
      </c>
      <c r="H4" s="175">
        <f>SUM(F4,G4)</f>
        <v>134.6464</v>
      </c>
      <c r="I4" s="5">
        <f>F4/(Kengetallen!C4)</f>
        <v>1.2279700748129676</v>
      </c>
      <c r="J4" s="1">
        <v>84</v>
      </c>
      <c r="K4" s="15">
        <f>ROUNDUP(J4-I4,1)</f>
        <v>82.8</v>
      </c>
      <c r="L4" s="16">
        <f>D4-G4</f>
        <v>1265.2944</v>
      </c>
      <c r="M4" t="b">
        <f>ISBLANK(F4)</f>
        <v>0</v>
      </c>
      <c r="W4" s="216">
        <f>SUM(W5:W68)</f>
        <v>24.620799999999999</v>
      </c>
      <c r="X4" s="216">
        <f>SUM(X5:X68)</f>
        <v>110.0256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J52</v>
      </c>
      <c r="S5" t="str">
        <f t="shared" si="0"/>
        <v>Boven-klikgebit, 6 implantaten bovenkaak met drukknoppen</v>
      </c>
      <c r="T5" s="221">
        <f t="shared" si="0"/>
        <v>307.76</v>
      </c>
      <c r="U5" s="221">
        <f t="shared" si="0"/>
        <v>1375.32</v>
      </c>
      <c r="V5" s="223">
        <f t="shared" si="0"/>
        <v>0.08</v>
      </c>
      <c r="W5" s="221">
        <f t="shared" si="0"/>
        <v>24.620799999999999</v>
      </c>
      <c r="X5" s="221">
        <f t="shared" si="0"/>
        <v>110.0256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Kengetallen!G5</f>
        <v>0.08</v>
      </c>
      <c r="F6" s="179"/>
      <c r="G6" s="179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/>
      </c>
      <c r="S6" t="str">
        <f t="shared" si="0"/>
        <v/>
      </c>
      <c r="T6" s="221" t="str">
        <f t="shared" si="0"/>
        <v/>
      </c>
      <c r="U6" s="221" t="str">
        <f t="shared" si="0"/>
        <v/>
      </c>
      <c r="V6" s="223" t="str">
        <f t="shared" si="0"/>
        <v/>
      </c>
      <c r="W6" s="221" t="str">
        <f t="shared" si="0"/>
        <v/>
      </c>
      <c r="X6" s="221" t="str">
        <f t="shared" si="0"/>
        <v/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Kengetallen!G6</f>
        <v>0.08</v>
      </c>
      <c r="F7" s="179"/>
      <c r="G7" s="179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179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179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179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179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179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>
        <f>C29*E29</f>
        <v>24.620799999999999</v>
      </c>
      <c r="G29" s="179">
        <f>D29*E29</f>
        <v>110.0256</v>
      </c>
      <c r="H29" s="24"/>
      <c r="M29" s="20" t="b">
        <f t="shared" si="1"/>
        <v>0</v>
      </c>
      <c r="Q29" s="20">
        <f t="shared" si="2"/>
        <v>29</v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Kengetallen!G38</f>
        <v>0.08</v>
      </c>
      <c r="F39" s="179"/>
      <c r="G39" s="179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 ht="45">
      <c r="I69" s="202" t="s">
        <v>644</v>
      </c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L2:L3"/>
    <mergeCell ref="A1:B1"/>
    <mergeCell ref="F1:H1"/>
    <mergeCell ref="F2:H2"/>
    <mergeCell ref="J2:J3"/>
    <mergeCell ref="K2:K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36" workbookViewId="0">
      <selection activeCell="J43" sqref="J43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</cols>
  <sheetData>
    <row r="1" spans="1:13" ht="43.35" customHeight="1">
      <c r="A1" s="304" t="s">
        <v>604</v>
      </c>
      <c r="B1" s="304"/>
      <c r="C1" s="14"/>
      <c r="D1" s="8"/>
      <c r="E1" s="10"/>
      <c r="F1" s="299"/>
      <c r="G1" s="299"/>
      <c r="H1" s="299"/>
      <c r="M1" s="2" t="s">
        <v>18</v>
      </c>
    </row>
    <row r="2" spans="1:13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</row>
    <row r="3" spans="1:13" ht="41.1" customHeight="1">
      <c r="A3" s="8"/>
      <c r="B3" s="28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</row>
    <row r="4" spans="1:13">
      <c r="A4" s="13" t="s">
        <v>22</v>
      </c>
      <c r="B4" s="13" t="s">
        <v>21</v>
      </c>
      <c r="C4" s="14">
        <f>SUM(,)</f>
        <v>0</v>
      </c>
      <c r="D4" s="14">
        <f>SUM(,)</f>
        <v>0</v>
      </c>
      <c r="E4" s="10"/>
      <c r="F4" s="14">
        <f>SUM(,)</f>
        <v>0</v>
      </c>
      <c r="G4" s="14">
        <f>SUM(,)</f>
        <v>0</v>
      </c>
      <c r="H4" s="175">
        <f>SUM(F4,G4)</f>
        <v>0</v>
      </c>
      <c r="I4" s="5">
        <f>F4/(Kengetallen!C4)</f>
        <v>0</v>
      </c>
      <c r="J4" s="1">
        <v>84</v>
      </c>
      <c r="K4" s="15">
        <f>ROUNDUP(J4-I4,1)</f>
        <v>84</v>
      </c>
      <c r="L4" s="16">
        <f>D4-G4</f>
        <v>0</v>
      </c>
      <c r="M4" t="b">
        <f>ISBLANK(F4)</f>
        <v>0</v>
      </c>
    </row>
    <row r="5" spans="1:13" s="20" customFormat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</row>
    <row r="6" spans="1:13" s="20" customFormat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0">ISBLANK(F6)</f>
        <v>1</v>
      </c>
    </row>
    <row r="7" spans="1:13" s="20" customFormat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0"/>
        <v>1</v>
      </c>
    </row>
    <row r="8" spans="1:13" s="20" customFormat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24"/>
      <c r="H8" s="24"/>
      <c r="M8" s="20" t="b">
        <f t="shared" si="0"/>
        <v>1</v>
      </c>
    </row>
    <row r="9" spans="1:13" s="20" customFormat="1" ht="30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0"/>
        <v>1</v>
      </c>
    </row>
    <row r="10" spans="1:13" s="20" customFormat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0"/>
        <v>1</v>
      </c>
    </row>
    <row r="11" spans="1:13" s="20" customFormat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0"/>
        <v>1</v>
      </c>
    </row>
    <row r="12" spans="1:13" s="20" customFormat="1" ht="45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0"/>
        <v>1</v>
      </c>
    </row>
    <row r="13" spans="1:13" s="20" customFormat="1" ht="45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0"/>
        <v>1</v>
      </c>
    </row>
    <row r="14" spans="1:13" s="20" customFormat="1" ht="45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0"/>
        <v>1</v>
      </c>
    </row>
    <row r="15" spans="1:13" s="20" customFormat="1" ht="45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0"/>
        <v>1</v>
      </c>
    </row>
    <row r="16" spans="1:13" s="20" customFormat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0"/>
        <v>1</v>
      </c>
    </row>
    <row r="17" spans="1:13" s="20" customFormat="1" ht="30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0"/>
        <v>1</v>
      </c>
    </row>
    <row r="18" spans="1:13" s="20" customFormat="1" ht="30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0"/>
        <v>1</v>
      </c>
    </row>
    <row r="19" spans="1:13" s="20" customFormat="1" ht="30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0"/>
        <v>1</v>
      </c>
    </row>
    <row r="20" spans="1:13" s="20" customFormat="1" ht="30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0"/>
        <v>1</v>
      </c>
    </row>
    <row r="21" spans="1:13" s="20" customFormat="1" ht="30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0"/>
        <v>1</v>
      </c>
    </row>
    <row r="22" spans="1:13" s="20" customFormat="1" ht="30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0"/>
        <v>1</v>
      </c>
    </row>
    <row r="23" spans="1:13" s="20" customFormat="1">
      <c r="B23" s="2"/>
      <c r="C23" s="24"/>
      <c r="D23" s="174"/>
      <c r="E23" s="23"/>
      <c r="F23" s="179"/>
      <c r="G23" s="24"/>
      <c r="H23" s="24"/>
      <c r="M23" s="20" t="b">
        <f t="shared" si="0"/>
        <v>1</v>
      </c>
    </row>
    <row r="24" spans="1:13" s="20" customFormat="1" ht="30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0"/>
        <v>1</v>
      </c>
    </row>
    <row r="25" spans="1:13" s="20" customFormat="1" ht="30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0"/>
        <v>1</v>
      </c>
    </row>
    <row r="26" spans="1:13" s="20" customFormat="1" ht="30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0"/>
        <v>1</v>
      </c>
    </row>
    <row r="27" spans="1:13" s="20" customFormat="1" ht="30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0"/>
        <v>1</v>
      </c>
    </row>
    <row r="28" spans="1:13" s="20" customFormat="1" ht="30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0"/>
        <v>1</v>
      </c>
    </row>
    <row r="29" spans="1:13" s="20" customFormat="1" ht="30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0"/>
        <v>1</v>
      </c>
    </row>
    <row r="30" spans="1:13" s="20" customFormat="1" ht="30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0"/>
        <v>1</v>
      </c>
    </row>
    <row r="31" spans="1:13" s="20" customFormat="1" ht="30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0"/>
        <v>1</v>
      </c>
    </row>
    <row r="32" spans="1:13" s="20" customFormat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0"/>
        <v>1</v>
      </c>
    </row>
    <row r="33" spans="1:13" s="20" customFormat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0"/>
        <v>1</v>
      </c>
    </row>
    <row r="34" spans="1:13" s="20" customFormat="1" ht="30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0"/>
        <v>1</v>
      </c>
    </row>
    <row r="35" spans="1:13" s="20" customFormat="1" ht="30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0"/>
        <v>1</v>
      </c>
    </row>
    <row r="36" spans="1:13" s="20" customFormat="1" ht="30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0"/>
        <v>1</v>
      </c>
    </row>
    <row r="37" spans="1:13" s="20" customFormat="1" ht="30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0"/>
        <v>1</v>
      </c>
    </row>
    <row r="38" spans="1:13" s="20" customFormat="1" ht="30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0"/>
        <v>1</v>
      </c>
    </row>
    <row r="39" spans="1:13" s="20" customFormat="1" ht="30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0"/>
        <v>1</v>
      </c>
    </row>
    <row r="40" spans="1:13" s="20" customFormat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0"/>
        <v>1</v>
      </c>
    </row>
    <row r="41" spans="1:13" s="20" customFormat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0"/>
        <v>1</v>
      </c>
    </row>
    <row r="42" spans="1:13" s="20" customFormat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0"/>
        <v>1</v>
      </c>
    </row>
    <row r="43" spans="1:13" s="20" customFormat="1" ht="30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0"/>
        <v>1</v>
      </c>
    </row>
    <row r="44" spans="1:13" s="20" customFormat="1" ht="30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0"/>
        <v>1</v>
      </c>
    </row>
    <row r="45" spans="1:13" s="20" customFormat="1" ht="30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0"/>
        <v>1</v>
      </c>
    </row>
    <row r="46" spans="1:13" s="20" customFormat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0"/>
        <v>1</v>
      </c>
    </row>
    <row r="47" spans="1:13" s="20" customFormat="1" ht="30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0"/>
        <v>1</v>
      </c>
    </row>
    <row r="48" spans="1:13" s="20" customFormat="1" ht="30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0"/>
        <v>1</v>
      </c>
    </row>
    <row r="49" spans="1:13" s="20" customFormat="1" ht="30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0"/>
        <v>1</v>
      </c>
    </row>
    <row r="50" spans="1:13" s="20" customFormat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0"/>
        <v>1</v>
      </c>
    </row>
    <row r="51" spans="1:13" s="20" customFormat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0"/>
        <v>1</v>
      </c>
    </row>
    <row r="52" spans="1:13" s="20" customFormat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0"/>
        <v>1</v>
      </c>
    </row>
    <row r="53" spans="1:13" s="20" customFormat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0"/>
        <v>1</v>
      </c>
    </row>
    <row r="54" spans="1:13" s="20" customFormat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H54" s="24"/>
      <c r="M54" s="20" t="b">
        <f t="shared" si="0"/>
        <v>1</v>
      </c>
    </row>
    <row r="55" spans="1:13" s="20" customFormat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H55" s="24"/>
      <c r="M55" s="20" t="b">
        <f t="shared" si="0"/>
        <v>1</v>
      </c>
    </row>
    <row r="56" spans="1:13" s="20" customFormat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0"/>
        <v>1</v>
      </c>
    </row>
    <row r="57" spans="1:13" s="20" customFormat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0"/>
        <v>1</v>
      </c>
    </row>
    <row r="58" spans="1:13" s="20" customFormat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H58" s="24"/>
      <c r="M58" s="20" t="b">
        <f t="shared" si="0"/>
        <v>1</v>
      </c>
    </row>
    <row r="59" spans="1:13" s="20" customFormat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H59" s="24"/>
      <c r="M59" s="20" t="b">
        <f t="shared" si="0"/>
        <v>1</v>
      </c>
    </row>
    <row r="60" spans="1:13" s="20" customFormat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H60" s="24"/>
      <c r="M60" s="20" t="b">
        <f t="shared" si="0"/>
        <v>1</v>
      </c>
    </row>
    <row r="61" spans="1:13" s="20" customFormat="1" ht="30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H61" s="24"/>
      <c r="M61" s="20" t="b">
        <f t="shared" si="0"/>
        <v>1</v>
      </c>
    </row>
    <row r="62" spans="1:13" s="20" customFormat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0"/>
        <v>1</v>
      </c>
    </row>
    <row r="63" spans="1:13" s="20" customFormat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0"/>
        <v>1</v>
      </c>
    </row>
    <row r="64" spans="1:13" s="20" customFormat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0"/>
        <v>1</v>
      </c>
    </row>
    <row r="65" spans="1:13" s="20" customFormat="1" ht="30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0"/>
        <v>1</v>
      </c>
    </row>
    <row r="66" spans="1:13" s="20" customFormat="1" ht="30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0"/>
        <v>1</v>
      </c>
    </row>
    <row r="67" spans="1:13" s="20" customFormat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0"/>
        <v>1</v>
      </c>
    </row>
    <row r="68" spans="1:13" s="20" customFormat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0"/>
        <v>1</v>
      </c>
    </row>
  </sheetData>
  <sheetProtection sheet="1" objects="1" scenarios="1"/>
  <autoFilter ref="M1:M50"/>
  <mergeCells count="6">
    <mergeCell ref="L2:L3"/>
    <mergeCell ref="A1:B1"/>
    <mergeCell ref="F1:H1"/>
    <mergeCell ref="F2:H2"/>
    <mergeCell ref="J2:J3"/>
    <mergeCell ref="K2:K3"/>
  </mergeCells>
  <phoneticPr fontId="2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/>
  <dimension ref="A1:O74"/>
  <sheetViews>
    <sheetView zoomScale="80" zoomScaleNormal="80" zoomScalePageLayoutView="80" workbookViewId="0">
      <pane ySplit="2" topLeftCell="A3" activePane="bottomLeft" state="frozen"/>
      <selection activeCell="J43" sqref="J43"/>
      <selection pane="bottomLeft" activeCell="B14" sqref="B14"/>
    </sheetView>
  </sheetViews>
  <sheetFormatPr defaultColWidth="8.85546875" defaultRowHeight="15"/>
  <cols>
    <col min="1" max="1" width="8" style="161" customWidth="1"/>
    <col min="2" max="2" width="107.42578125" style="162" customWidth="1"/>
    <col min="3" max="3" width="11.42578125" style="17" customWidth="1"/>
    <col min="4" max="4" width="16.42578125" style="206" customWidth="1"/>
    <col min="5" max="5" width="14.28515625" style="17" customWidth="1"/>
    <col min="6" max="7" width="8.85546875" style="163"/>
    <col min="8" max="8" width="15.28515625" style="17" customWidth="1"/>
    <col min="9" max="9" width="12.28515625" style="159" customWidth="1"/>
    <col min="10" max="10" width="53.42578125" style="162" customWidth="1"/>
    <col min="11" max="11" width="10.28515625" style="159" customWidth="1"/>
    <col min="12" max="12" width="13.42578125" style="159" bestFit="1" customWidth="1"/>
    <col min="13" max="13" width="10.42578125" style="159" bestFit="1" customWidth="1"/>
    <col min="14" max="14" width="8.85546875" style="159"/>
    <col min="15" max="15" width="10.42578125" style="159" customWidth="1"/>
    <col min="16" max="16384" width="8.85546875" style="159"/>
  </cols>
  <sheetData>
    <row r="1" spans="1:15" ht="29.45" customHeight="1">
      <c r="A1" s="308" t="s">
        <v>673</v>
      </c>
      <c r="B1" s="308"/>
      <c r="C1" s="198"/>
      <c r="D1" s="204"/>
      <c r="E1" s="198"/>
      <c r="F1" s="199"/>
      <c r="G1" s="199"/>
      <c r="H1" s="306" t="s">
        <v>130</v>
      </c>
      <c r="I1" s="306"/>
      <c r="J1" s="200"/>
      <c r="K1" s="307" t="s">
        <v>644</v>
      </c>
    </row>
    <row r="2" spans="1:15" ht="44.1" customHeight="1">
      <c r="A2" s="164">
        <v>2017</v>
      </c>
      <c r="B2" s="164"/>
      <c r="C2" s="26" t="s">
        <v>589</v>
      </c>
      <c r="D2" s="205" t="s">
        <v>679</v>
      </c>
      <c r="E2" s="26"/>
      <c r="F2" s="305" t="s">
        <v>93</v>
      </c>
      <c r="G2" s="305"/>
      <c r="H2" s="184" t="s">
        <v>131</v>
      </c>
      <c r="I2" s="201" t="s">
        <v>132</v>
      </c>
      <c r="J2" s="200" t="s">
        <v>675</v>
      </c>
      <c r="K2" s="307"/>
    </row>
    <row r="3" spans="1:15" ht="14.45" customHeight="1">
      <c r="A3" s="161" t="s">
        <v>91</v>
      </c>
      <c r="B3" s="161" t="s">
        <v>21</v>
      </c>
    </row>
    <row r="4" spans="1:15" ht="14.45" hidden="1" customHeight="1">
      <c r="A4" s="161" t="s">
        <v>43</v>
      </c>
      <c r="B4" s="162" t="s">
        <v>15</v>
      </c>
      <c r="C4" s="167">
        <f>20.05</f>
        <v>20.05</v>
      </c>
      <c r="D4" s="207"/>
      <c r="E4" s="167"/>
      <c r="F4" s="165"/>
      <c r="G4" s="165"/>
    </row>
    <row r="5" spans="1:15" ht="14.45" customHeight="1">
      <c r="A5" s="168" t="s">
        <v>102</v>
      </c>
      <c r="B5" s="169" t="s">
        <v>44</v>
      </c>
      <c r="C5" s="167">
        <v>142.4</v>
      </c>
      <c r="D5" s="208">
        <v>280</v>
      </c>
      <c r="E5" s="167"/>
      <c r="F5" s="170">
        <v>0.1</v>
      </c>
      <c r="G5" s="170">
        <v>0.08</v>
      </c>
      <c r="I5" s="160">
        <f>Mesostructuur_zkz!F4</f>
        <v>290.39999999999998</v>
      </c>
    </row>
    <row r="6" spans="1:15" ht="14.45" customHeight="1">
      <c r="A6" s="168" t="s">
        <v>103</v>
      </c>
      <c r="B6" s="169" t="s">
        <v>45</v>
      </c>
      <c r="C6" s="167">
        <v>32.14</v>
      </c>
      <c r="D6" s="208">
        <v>140</v>
      </c>
      <c r="E6" s="167"/>
      <c r="F6" s="170">
        <v>0.1</v>
      </c>
      <c r="G6" s="170">
        <v>0.08</v>
      </c>
      <c r="I6" s="160">
        <f>Mesostructuur_zkz!F9</f>
        <v>145.19999999999999</v>
      </c>
    </row>
    <row r="7" spans="1:15" ht="14.45" customHeight="1">
      <c r="A7" s="168" t="s">
        <v>104</v>
      </c>
      <c r="B7" s="169" t="s">
        <v>46</v>
      </c>
      <c r="C7" s="167">
        <v>188.33</v>
      </c>
      <c r="D7" s="208">
        <v>1024.58</v>
      </c>
      <c r="E7" s="167"/>
      <c r="F7" s="170">
        <v>0.1</v>
      </c>
      <c r="G7" s="170">
        <v>0.08</v>
      </c>
      <c r="I7" s="160">
        <f>Mesostructuur_zkz!F14</f>
        <v>450</v>
      </c>
    </row>
    <row r="8" spans="1:15" ht="14.45" customHeight="1">
      <c r="A8" s="168" t="s">
        <v>105</v>
      </c>
      <c r="B8" s="169" t="s">
        <v>47</v>
      </c>
      <c r="C8" s="167">
        <v>59.72</v>
      </c>
      <c r="D8" s="208">
        <v>469.79</v>
      </c>
      <c r="E8" s="167"/>
      <c r="F8" s="170">
        <v>0.1</v>
      </c>
      <c r="G8" s="170">
        <v>0.08</v>
      </c>
      <c r="I8" s="160">
        <f>Mesostructuur_zkz!F19</f>
        <v>165</v>
      </c>
    </row>
    <row r="9" spans="1:15" ht="14.45" customHeight="1">
      <c r="A9" s="168"/>
      <c r="B9" s="169"/>
      <c r="C9" s="167"/>
      <c r="D9" s="207"/>
      <c r="E9" s="167"/>
      <c r="F9" s="170"/>
      <c r="G9" s="170"/>
    </row>
    <row r="10" spans="1:15" ht="17.100000000000001" customHeight="1">
      <c r="A10" s="171" t="s">
        <v>48</v>
      </c>
      <c r="B10" s="172" t="s">
        <v>49</v>
      </c>
      <c r="C10" s="167"/>
      <c r="D10" s="207"/>
      <c r="E10" s="167"/>
      <c r="F10" s="170"/>
      <c r="G10" s="170"/>
      <c r="I10" s="173"/>
      <c r="J10" s="195"/>
      <c r="K10" s="173"/>
      <c r="L10" s="173"/>
      <c r="M10" s="166"/>
    </row>
    <row r="11" spans="1:15" ht="14.45" customHeight="1">
      <c r="A11" s="168" t="s">
        <v>106</v>
      </c>
      <c r="B11" s="169" t="s">
        <v>533</v>
      </c>
      <c r="C11" s="167">
        <v>473.13</v>
      </c>
      <c r="D11" s="208">
        <v>1093.78</v>
      </c>
      <c r="E11" s="167"/>
      <c r="F11" s="170">
        <v>0.17</v>
      </c>
      <c r="G11" s="170"/>
      <c r="H11" s="17">
        <v>1910</v>
      </c>
      <c r="I11" s="160">
        <f>Implantaat_prothese_zkz!F217+Implantaat_prothese_zkz!F388</f>
        <v>1394.83</v>
      </c>
      <c r="J11" s="194" t="s">
        <v>576</v>
      </c>
      <c r="K11" s="160"/>
      <c r="L11" s="160"/>
      <c r="O11" s="160"/>
    </row>
    <row r="12" spans="1:15" ht="14.45" customHeight="1">
      <c r="A12" s="168" t="s">
        <v>106</v>
      </c>
      <c r="B12" s="169" t="s">
        <v>532</v>
      </c>
      <c r="C12" s="167">
        <v>473.13</v>
      </c>
      <c r="D12" s="208">
        <v>1282.56</v>
      </c>
      <c r="E12" s="167"/>
      <c r="F12" s="170">
        <v>0.17</v>
      </c>
      <c r="G12" s="170"/>
      <c r="H12" s="17">
        <v>2915</v>
      </c>
      <c r="I12" s="160">
        <f>Implantaat_prothese_zkz!F270+Implantaat_prothese_zkz!F388</f>
        <v>1865.9299999999998</v>
      </c>
      <c r="J12" s="194" t="s">
        <v>577</v>
      </c>
      <c r="K12" s="160"/>
      <c r="L12" s="160"/>
      <c r="O12" s="160"/>
    </row>
    <row r="13" spans="1:15" ht="14.45" customHeight="1">
      <c r="A13" s="168" t="s">
        <v>106</v>
      </c>
      <c r="B13" s="169" t="s">
        <v>534</v>
      </c>
      <c r="C13" s="167">
        <v>473.13</v>
      </c>
      <c r="D13" s="208">
        <v>1262.0999999999999</v>
      </c>
      <c r="E13" s="167"/>
      <c r="F13" s="170">
        <v>0.17</v>
      </c>
      <c r="G13" s="170"/>
      <c r="H13" s="17">
        <v>1295</v>
      </c>
      <c r="I13" s="160">
        <f>Implantaat_prothese_zkz!F26+Implantaat_prothese_zkz!F388</f>
        <v>1281.97</v>
      </c>
      <c r="J13" s="162" t="s">
        <v>578</v>
      </c>
      <c r="K13" s="160"/>
      <c r="L13" s="160"/>
      <c r="O13" s="160"/>
    </row>
    <row r="14" spans="1:15" ht="14.45" customHeight="1">
      <c r="A14" s="168" t="s">
        <v>106</v>
      </c>
      <c r="B14" s="169" t="s">
        <v>588</v>
      </c>
      <c r="C14" s="167">
        <v>473.13</v>
      </c>
      <c r="D14" s="208">
        <v>1461.88</v>
      </c>
      <c r="E14" s="167"/>
      <c r="F14" s="170">
        <v>0.17</v>
      </c>
      <c r="G14" s="170"/>
      <c r="H14" s="17">
        <v>1835</v>
      </c>
      <c r="I14" s="160">
        <f>Implantaat_prothese_zkz!F80++Implantaat_prothese_zkz!F388</f>
        <v>1753.2499999999998</v>
      </c>
      <c r="J14" s="162" t="s">
        <v>579</v>
      </c>
      <c r="K14" s="160"/>
      <c r="L14" s="160"/>
      <c r="O14" s="160"/>
    </row>
    <row r="15" spans="1:15" ht="14.45" customHeight="1">
      <c r="A15" s="168"/>
      <c r="B15" s="169"/>
      <c r="C15" s="167"/>
      <c r="D15" s="207"/>
      <c r="E15" s="167"/>
      <c r="F15" s="170"/>
      <c r="G15" s="170"/>
      <c r="I15" s="160"/>
      <c r="J15" s="194"/>
      <c r="K15" s="160"/>
      <c r="L15" s="160"/>
      <c r="O15" s="160"/>
    </row>
    <row r="16" spans="1:15" ht="14.45" customHeight="1">
      <c r="A16" s="168" t="s">
        <v>107</v>
      </c>
      <c r="B16" s="169" t="s">
        <v>593</v>
      </c>
      <c r="C16" s="167">
        <v>307.76</v>
      </c>
      <c r="D16" s="209">
        <v>728.78</v>
      </c>
      <c r="E16" s="167"/>
      <c r="F16" s="170">
        <v>0.1</v>
      </c>
      <c r="G16" s="170"/>
      <c r="H16" s="17">
        <v>1620</v>
      </c>
      <c r="I16" s="160">
        <f>Implantaat_prothese_zkz!F336+Implantaat_prothese_zkz!F388</f>
        <v>1185.5099999999998</v>
      </c>
      <c r="J16" s="194" t="s">
        <v>576</v>
      </c>
      <c r="K16" s="160"/>
    </row>
    <row r="17" spans="1:13" ht="14.45" customHeight="1">
      <c r="A17" s="168" t="s">
        <v>107</v>
      </c>
      <c r="B17" s="169" t="s">
        <v>592</v>
      </c>
      <c r="C17" s="167">
        <v>307.76</v>
      </c>
      <c r="D17" s="209">
        <v>917.56</v>
      </c>
      <c r="E17" s="167"/>
      <c r="F17" s="170">
        <v>0.1</v>
      </c>
      <c r="G17" s="170"/>
      <c r="H17" s="17">
        <v>2275</v>
      </c>
      <c r="I17" s="160">
        <f>Implantaat_prothese_zkz!F380+Implantaat_prothese_zkz!F388</f>
        <v>1693.11</v>
      </c>
      <c r="J17" s="162" t="s">
        <v>580</v>
      </c>
      <c r="K17" s="160"/>
    </row>
    <row r="18" spans="1:13" ht="14.45" customHeight="1">
      <c r="A18" s="168" t="s">
        <v>107</v>
      </c>
      <c r="B18" s="169" t="s">
        <v>591</v>
      </c>
      <c r="C18" s="167">
        <v>307.76</v>
      </c>
      <c r="D18" s="209">
        <v>818.44</v>
      </c>
      <c r="E18" s="167"/>
      <c r="F18" s="170">
        <v>0.1</v>
      </c>
      <c r="G18" s="170"/>
      <c r="H18" s="17">
        <v>1005</v>
      </c>
      <c r="I18" s="160">
        <f>Implantaat_prothese_zkz!F146+Implantaat_prothese_zkz!F388</f>
        <v>996.4</v>
      </c>
      <c r="J18" s="162" t="s">
        <v>585</v>
      </c>
      <c r="K18" s="160"/>
      <c r="L18" s="193"/>
    </row>
    <row r="19" spans="1:13" ht="14.45" customHeight="1">
      <c r="A19" s="168" t="s">
        <v>107</v>
      </c>
      <c r="B19" s="169" t="s">
        <v>590</v>
      </c>
      <c r="C19" s="167">
        <v>307.76</v>
      </c>
      <c r="D19" s="209">
        <v>1096.8800000000001</v>
      </c>
      <c r="E19" s="167"/>
      <c r="F19" s="170">
        <v>0.1</v>
      </c>
      <c r="G19" s="170"/>
      <c r="H19" s="17">
        <v>1545</v>
      </c>
      <c r="I19" s="160">
        <f>Implantaat_prothese_zkz!F190+Implantaat_prothese_zkz!F388</f>
        <v>1467.6799999999998</v>
      </c>
      <c r="J19" s="162" t="s">
        <v>586</v>
      </c>
      <c r="K19" s="160"/>
      <c r="L19" s="193"/>
    </row>
    <row r="20" spans="1:13" ht="14.45" customHeight="1">
      <c r="A20" s="168" t="s">
        <v>107</v>
      </c>
      <c r="B20" s="169" t="s">
        <v>602</v>
      </c>
      <c r="C20" s="167">
        <v>307.76</v>
      </c>
      <c r="D20" s="207"/>
      <c r="E20" s="167"/>
      <c r="F20" s="170">
        <v>0.1</v>
      </c>
      <c r="G20" s="170"/>
      <c r="I20" s="160"/>
      <c r="J20" s="194"/>
      <c r="L20" s="160"/>
      <c r="M20" s="160"/>
    </row>
    <row r="21" spans="1:13" ht="14.45" customHeight="1">
      <c r="A21" s="168" t="s">
        <v>107</v>
      </c>
      <c r="B21" s="169" t="s">
        <v>603</v>
      </c>
      <c r="C21" s="167">
        <v>307.76</v>
      </c>
      <c r="D21" s="207"/>
      <c r="E21" s="167"/>
      <c r="F21" s="170">
        <v>0.1</v>
      </c>
      <c r="G21" s="170"/>
      <c r="I21" s="160"/>
      <c r="J21" s="194"/>
      <c r="L21" s="160"/>
      <c r="M21" s="160"/>
    </row>
    <row r="22" spans="1:13" ht="14.45" customHeight="1">
      <c r="A22" s="168"/>
      <c r="B22" s="169"/>
      <c r="C22" s="167"/>
      <c r="D22" s="207"/>
      <c r="E22" s="167"/>
      <c r="F22" s="170"/>
      <c r="G22" s="170"/>
      <c r="I22" s="160"/>
      <c r="K22" s="160"/>
    </row>
    <row r="23" spans="1:13" ht="14.45" customHeight="1">
      <c r="A23" s="168" t="s">
        <v>108</v>
      </c>
      <c r="B23" s="169" t="s">
        <v>594</v>
      </c>
      <c r="C23" s="167">
        <v>307.76</v>
      </c>
      <c r="D23" s="209">
        <v>917.56</v>
      </c>
      <c r="E23" s="167"/>
      <c r="F23" s="170">
        <v>0.08</v>
      </c>
      <c r="G23" s="170"/>
      <c r="H23" s="17">
        <v>2565</v>
      </c>
      <c r="I23" s="160">
        <f>(Implantaat_prothese_zkz!F292)+(Implantaat_prothese_zkz!F388)</f>
        <v>1742.61</v>
      </c>
      <c r="J23" s="162" t="s">
        <v>581</v>
      </c>
      <c r="L23" s="160"/>
      <c r="M23" s="160"/>
    </row>
    <row r="24" spans="1:13" ht="14.45" customHeight="1">
      <c r="A24" s="168" t="s">
        <v>108</v>
      </c>
      <c r="B24" s="169" t="s">
        <v>597</v>
      </c>
      <c r="C24" s="167">
        <v>307.76</v>
      </c>
      <c r="D24" s="209">
        <v>1047.56</v>
      </c>
      <c r="E24" s="167"/>
      <c r="F24" s="170">
        <v>0.08</v>
      </c>
      <c r="G24" s="170"/>
      <c r="H24" s="17" t="s">
        <v>582</v>
      </c>
      <c r="I24" s="160">
        <f>Implantaat_prothese_zkz!F292+(Implantaat_prothese_zkz!F393)+(Implantaat_prothese_zkz!F388)</f>
        <v>1931.79</v>
      </c>
      <c r="J24" s="194"/>
      <c r="L24" s="160"/>
      <c r="M24" s="160"/>
    </row>
    <row r="25" spans="1:13" ht="14.45" customHeight="1">
      <c r="A25" s="168" t="s">
        <v>108</v>
      </c>
      <c r="B25" s="169" t="s">
        <v>595</v>
      </c>
      <c r="C25" s="167">
        <v>307.76</v>
      </c>
      <c r="D25" s="209">
        <v>1106.3399999999999</v>
      </c>
      <c r="E25" s="167"/>
      <c r="F25" s="170">
        <v>0.08</v>
      </c>
      <c r="G25" s="170"/>
      <c r="H25" s="17" t="s">
        <v>582</v>
      </c>
      <c r="I25" s="160">
        <f>Implantaat_prothese_zkz!F314+Implantaat_prothese_zkz!F388</f>
        <v>2124.17</v>
      </c>
      <c r="J25" s="194"/>
      <c r="L25" s="160"/>
      <c r="M25" s="160"/>
    </row>
    <row r="26" spans="1:13" ht="14.45" customHeight="1">
      <c r="A26" s="168" t="s">
        <v>108</v>
      </c>
      <c r="B26" s="169" t="s">
        <v>598</v>
      </c>
      <c r="C26" s="167">
        <v>307.76</v>
      </c>
      <c r="D26" s="209">
        <v>1236.3399999999999</v>
      </c>
      <c r="E26" s="167"/>
      <c r="F26" s="170">
        <v>0.08</v>
      </c>
      <c r="G26" s="170"/>
      <c r="H26" s="17" t="s">
        <v>582</v>
      </c>
      <c r="I26" s="160">
        <f>Implantaat_prothese_zkz!F314+Implantaat_prothese_zkz!F393+Implantaat_prothese_zkz!F388</f>
        <v>2313.35</v>
      </c>
      <c r="J26" s="194"/>
      <c r="L26" s="160"/>
      <c r="M26" s="160"/>
    </row>
    <row r="27" spans="1:13" ht="14.45" customHeight="1">
      <c r="A27" s="168" t="s">
        <v>108</v>
      </c>
      <c r="B27" s="169" t="s">
        <v>596</v>
      </c>
      <c r="C27" s="167">
        <v>307.76</v>
      </c>
      <c r="D27" s="209">
        <v>1096.8800000000001</v>
      </c>
      <c r="E27" s="167"/>
      <c r="F27" s="170">
        <v>0.08</v>
      </c>
      <c r="G27" s="170"/>
      <c r="H27" s="17">
        <v>1545</v>
      </c>
      <c r="I27" s="160">
        <f>Implantaat_prothese_zkz!F124+Implantaat_prothese_zkz!F388</f>
        <v>1467.6799999999998</v>
      </c>
      <c r="J27" s="194" t="s">
        <v>583</v>
      </c>
      <c r="L27" s="160"/>
      <c r="M27" s="160"/>
    </row>
    <row r="28" spans="1:13" ht="14.45" customHeight="1">
      <c r="A28" s="168" t="s">
        <v>108</v>
      </c>
      <c r="B28" s="169" t="s">
        <v>599</v>
      </c>
      <c r="C28" s="167">
        <v>307.76</v>
      </c>
      <c r="D28" s="209">
        <v>1375.32</v>
      </c>
      <c r="E28" s="167"/>
      <c r="F28" s="170">
        <v>0.08</v>
      </c>
      <c r="G28" s="170"/>
      <c r="H28" s="17">
        <v>2430</v>
      </c>
      <c r="I28" s="160"/>
      <c r="J28" s="194" t="s">
        <v>583</v>
      </c>
      <c r="L28" s="160"/>
      <c r="M28" s="160"/>
    </row>
    <row r="29" spans="1:13" ht="14.45" customHeight="1">
      <c r="A29" s="168" t="s">
        <v>108</v>
      </c>
      <c r="B29" s="169" t="s">
        <v>601</v>
      </c>
      <c r="C29" s="167">
        <v>307.76</v>
      </c>
      <c r="D29" s="207"/>
      <c r="E29" s="167"/>
      <c r="F29" s="170">
        <v>0.08</v>
      </c>
      <c r="G29" s="170"/>
      <c r="I29" s="160"/>
      <c r="J29" s="194"/>
      <c r="L29" s="160"/>
      <c r="M29" s="160"/>
    </row>
    <row r="30" spans="1:13" ht="14.45" customHeight="1">
      <c r="A30" s="168" t="s">
        <v>108</v>
      </c>
      <c r="B30" s="169" t="s">
        <v>600</v>
      </c>
      <c r="C30" s="167">
        <v>307.76</v>
      </c>
      <c r="D30" s="207"/>
      <c r="E30" s="167"/>
      <c r="F30" s="170">
        <v>0.08</v>
      </c>
      <c r="G30" s="170"/>
      <c r="I30" s="160"/>
      <c r="J30" s="194"/>
      <c r="L30" s="160"/>
      <c r="M30" s="160"/>
    </row>
    <row r="31" spans="1:13" ht="14.45" customHeight="1">
      <c r="A31" s="168"/>
      <c r="B31" s="169"/>
      <c r="C31" s="167"/>
      <c r="D31" s="207"/>
      <c r="E31" s="167"/>
      <c r="F31" s="170"/>
      <c r="G31" s="170"/>
      <c r="I31" s="160"/>
      <c r="J31" s="194"/>
      <c r="L31" s="160"/>
      <c r="M31" s="160"/>
    </row>
    <row r="32" spans="1:13" ht="14.45" customHeight="1">
      <c r="A32" s="168" t="s">
        <v>109</v>
      </c>
      <c r="B32" s="169" t="s">
        <v>53</v>
      </c>
      <c r="C32" s="167">
        <v>91.87</v>
      </c>
      <c r="D32" s="207"/>
      <c r="E32" s="167"/>
      <c r="F32" s="170">
        <v>0.1</v>
      </c>
      <c r="G32" s="170">
        <v>0.08</v>
      </c>
    </row>
    <row r="33" spans="1:10" ht="14.45" customHeight="1">
      <c r="A33" s="168" t="s">
        <v>110</v>
      </c>
      <c r="B33" s="169" t="s">
        <v>54</v>
      </c>
      <c r="C33" s="167">
        <v>119.43</v>
      </c>
      <c r="D33" s="207"/>
      <c r="E33" s="167"/>
      <c r="F33" s="170">
        <v>0.1</v>
      </c>
      <c r="G33" s="170">
        <v>0.08</v>
      </c>
    </row>
    <row r="34" spans="1:10" ht="14.45" customHeight="1">
      <c r="A34" s="168" t="s">
        <v>111</v>
      </c>
      <c r="B34" s="169" t="s">
        <v>55</v>
      </c>
      <c r="C34" s="167">
        <v>137.80000000000001</v>
      </c>
      <c r="D34" s="207"/>
      <c r="E34" s="167"/>
      <c r="F34" s="170">
        <v>0.1</v>
      </c>
      <c r="G34" s="170">
        <v>0.08</v>
      </c>
    </row>
    <row r="35" spans="1:10" ht="14.45" customHeight="1">
      <c r="A35" s="168" t="s">
        <v>112</v>
      </c>
      <c r="B35" s="169" t="s">
        <v>56</v>
      </c>
      <c r="C35" s="167">
        <v>160.77000000000001</v>
      </c>
      <c r="D35" s="207"/>
      <c r="E35" s="167"/>
      <c r="F35" s="170">
        <v>0.1</v>
      </c>
      <c r="G35" s="170">
        <v>0.08</v>
      </c>
    </row>
    <row r="36" spans="1:10" ht="14.45" customHeight="1">
      <c r="A36" s="168" t="s">
        <v>50</v>
      </c>
      <c r="B36" s="169" t="s">
        <v>605</v>
      </c>
      <c r="C36" s="167">
        <v>78.09</v>
      </c>
      <c r="D36" s="207"/>
      <c r="E36" s="167"/>
      <c r="F36" s="170">
        <v>0.1</v>
      </c>
      <c r="G36" s="170">
        <v>0.08</v>
      </c>
      <c r="H36" s="17">
        <v>700</v>
      </c>
      <c r="J36" s="162" t="s">
        <v>587</v>
      </c>
    </row>
    <row r="37" spans="1:10" ht="14.45" customHeight="1">
      <c r="A37" s="168" t="s">
        <v>51</v>
      </c>
      <c r="B37" s="169" t="s">
        <v>69</v>
      </c>
      <c r="C37" s="167">
        <v>101.06</v>
      </c>
      <c r="D37" s="207"/>
      <c r="E37" s="167"/>
      <c r="F37" s="170">
        <v>0.1</v>
      </c>
      <c r="G37" s="170">
        <v>0.08</v>
      </c>
      <c r="H37" s="17">
        <v>930</v>
      </c>
      <c r="J37" s="162" t="s">
        <v>660</v>
      </c>
    </row>
    <row r="38" spans="1:10" ht="14.45" customHeight="1">
      <c r="A38" s="168" t="s">
        <v>52</v>
      </c>
      <c r="B38" s="169" t="s">
        <v>68</v>
      </c>
      <c r="C38" s="167">
        <v>124.02</v>
      </c>
      <c r="D38" s="207"/>
      <c r="E38" s="167"/>
      <c r="F38" s="170">
        <v>0.1</v>
      </c>
      <c r="G38" s="170">
        <v>0.08</v>
      </c>
      <c r="H38" s="17">
        <v>1160</v>
      </c>
      <c r="J38" s="162" t="s">
        <v>584</v>
      </c>
    </row>
    <row r="39" spans="1:10" ht="14.45" customHeight="1">
      <c r="A39" s="168"/>
      <c r="B39" s="169"/>
      <c r="C39" s="167"/>
      <c r="D39" s="207"/>
      <c r="E39" s="167"/>
      <c r="F39" s="170"/>
      <c r="G39" s="170"/>
    </row>
    <row r="40" spans="1:10" ht="14.45" customHeight="1">
      <c r="A40" s="171" t="s">
        <v>57</v>
      </c>
      <c r="B40" s="172" t="s">
        <v>58</v>
      </c>
      <c r="C40" s="167"/>
      <c r="D40" s="207"/>
      <c r="E40" s="167"/>
      <c r="F40" s="170"/>
      <c r="G40" s="170"/>
    </row>
    <row r="41" spans="1:10" ht="14.45" customHeight="1">
      <c r="A41" s="168" t="s">
        <v>113</v>
      </c>
      <c r="B41" s="169" t="s">
        <v>59</v>
      </c>
      <c r="C41" s="167">
        <v>28.62</v>
      </c>
      <c r="D41" s="209">
        <v>95</v>
      </c>
      <c r="E41" s="167"/>
      <c r="F41" s="170">
        <v>0.1</v>
      </c>
      <c r="G41" s="170">
        <v>0.08</v>
      </c>
      <c r="H41" s="17">
        <v>380</v>
      </c>
      <c r="I41" s="160">
        <f>Rebasen_zkz!F66</f>
        <v>306.99</v>
      </c>
      <c r="J41" s="162" t="s">
        <v>662</v>
      </c>
    </row>
    <row r="42" spans="1:10" ht="14.45" customHeight="1">
      <c r="A42" s="168" t="s">
        <v>114</v>
      </c>
      <c r="B42" s="169" t="s">
        <v>60</v>
      </c>
      <c r="C42" s="167">
        <v>160.77000000000001</v>
      </c>
      <c r="D42" s="209">
        <v>328.66</v>
      </c>
      <c r="E42" s="167"/>
      <c r="F42" s="170">
        <v>0.1</v>
      </c>
      <c r="G42" s="170">
        <v>0.08</v>
      </c>
      <c r="H42" s="17">
        <v>380</v>
      </c>
      <c r="I42" s="160">
        <f>Rebasen_zkz!F66</f>
        <v>306.99</v>
      </c>
      <c r="J42" s="162" t="s">
        <v>667</v>
      </c>
    </row>
    <row r="43" spans="1:10" ht="14.45" customHeight="1">
      <c r="A43" s="168"/>
      <c r="B43" s="169"/>
      <c r="C43" s="167"/>
      <c r="D43" s="207"/>
      <c r="E43" s="167"/>
      <c r="F43" s="170"/>
      <c r="G43" s="170"/>
    </row>
    <row r="44" spans="1:10" ht="14.45" customHeight="1">
      <c r="A44" s="168" t="s">
        <v>115</v>
      </c>
      <c r="B44" s="169" t="s">
        <v>61</v>
      </c>
      <c r="C44" s="167">
        <v>183.74</v>
      </c>
      <c r="D44" s="209">
        <v>407.32</v>
      </c>
      <c r="E44" s="167"/>
      <c r="F44" s="170">
        <v>0.1</v>
      </c>
      <c r="G44" s="170">
        <v>0.08</v>
      </c>
      <c r="H44" s="17">
        <v>510</v>
      </c>
      <c r="I44" s="160">
        <f>Rebasen_zkz!F88</f>
        <v>514.04999999999995</v>
      </c>
      <c r="J44" s="162" t="s">
        <v>668</v>
      </c>
    </row>
    <row r="45" spans="1:10" ht="14.45" customHeight="1">
      <c r="A45" s="168" t="s">
        <v>116</v>
      </c>
      <c r="B45" s="169" t="s">
        <v>62</v>
      </c>
      <c r="C45" s="167">
        <v>206.71</v>
      </c>
      <c r="D45" s="209">
        <v>485.98</v>
      </c>
      <c r="E45" s="167"/>
      <c r="F45" s="170">
        <v>0.1</v>
      </c>
      <c r="G45" s="170">
        <v>0.08</v>
      </c>
      <c r="H45" s="17">
        <v>600</v>
      </c>
      <c r="J45" s="162" t="s">
        <v>663</v>
      </c>
    </row>
    <row r="46" spans="1:10" ht="14.45" customHeight="1">
      <c r="A46" s="168" t="s">
        <v>117</v>
      </c>
      <c r="B46" s="169" t="s">
        <v>63</v>
      </c>
      <c r="C46" s="167">
        <v>50.53</v>
      </c>
      <c r="D46" s="207"/>
      <c r="E46" s="167"/>
      <c r="F46" s="170">
        <v>0.1</v>
      </c>
      <c r="G46" s="170">
        <v>0.08</v>
      </c>
      <c r="H46" s="17">
        <v>280</v>
      </c>
      <c r="I46" s="160"/>
      <c r="J46" s="162" t="s">
        <v>661</v>
      </c>
    </row>
    <row r="47" spans="1:10" ht="14.45" customHeight="1">
      <c r="A47" s="168" t="s">
        <v>118</v>
      </c>
      <c r="B47" s="169" t="s">
        <v>64</v>
      </c>
      <c r="C47" s="167">
        <v>96.46</v>
      </c>
      <c r="D47" s="207"/>
      <c r="E47" s="167"/>
      <c r="F47" s="170">
        <v>0.1</v>
      </c>
      <c r="G47" s="170">
        <v>0.08</v>
      </c>
      <c r="H47" s="17">
        <v>280</v>
      </c>
      <c r="J47" s="162" t="s">
        <v>666</v>
      </c>
    </row>
    <row r="48" spans="1:10" ht="14.45" customHeight="1">
      <c r="A48" s="168" t="s">
        <v>119</v>
      </c>
      <c r="B48" s="169" t="s">
        <v>65</v>
      </c>
      <c r="C48" s="167">
        <v>119.43</v>
      </c>
      <c r="D48" s="207"/>
      <c r="E48" s="167"/>
      <c r="F48" s="170">
        <v>0.1</v>
      </c>
      <c r="G48" s="170">
        <v>0.08</v>
      </c>
      <c r="H48" s="17">
        <v>500</v>
      </c>
      <c r="J48" s="162" t="s">
        <v>665</v>
      </c>
    </row>
    <row r="49" spans="1:11" ht="14.45" customHeight="1">
      <c r="A49" s="168" t="s">
        <v>120</v>
      </c>
      <c r="B49" s="169" t="s">
        <v>66</v>
      </c>
      <c r="C49" s="167">
        <v>142.4</v>
      </c>
      <c r="D49" s="207"/>
      <c r="E49" s="167"/>
      <c r="F49" s="170">
        <v>0.1</v>
      </c>
      <c r="G49" s="170">
        <v>0.08</v>
      </c>
      <c r="H49" s="17">
        <v>750</v>
      </c>
      <c r="J49" s="162" t="s">
        <v>664</v>
      </c>
    </row>
    <row r="50" spans="1:11" ht="14.45" customHeight="1">
      <c r="C50" s="167"/>
    </row>
    <row r="51" spans="1:11" ht="14.45" customHeight="1">
      <c r="A51" s="168"/>
      <c r="B51" s="169"/>
      <c r="C51" s="167"/>
      <c r="D51" s="207"/>
      <c r="E51" s="167"/>
    </row>
    <row r="52" spans="1:11" ht="14.45" customHeight="1">
      <c r="A52" s="171" t="s">
        <v>70</v>
      </c>
      <c r="B52" s="172" t="s">
        <v>71</v>
      </c>
      <c r="C52" s="167"/>
      <c r="D52" s="207"/>
      <c r="E52" s="167"/>
    </row>
    <row r="53" spans="1:11" ht="14.45" customHeight="1">
      <c r="A53" s="168" t="s">
        <v>121</v>
      </c>
      <c r="B53" s="169" t="s">
        <v>72</v>
      </c>
      <c r="C53" s="167">
        <v>161.36000000000001</v>
      </c>
      <c r="D53" s="209">
        <v>365</v>
      </c>
      <c r="E53" s="167"/>
      <c r="F53" s="163">
        <v>0.25</v>
      </c>
      <c r="H53" s="17">
        <v>350</v>
      </c>
      <c r="I53" s="160">
        <f>Volledige_prothese_zkz!F50</f>
        <v>316.98000000000008</v>
      </c>
    </row>
    <row r="54" spans="1:11" ht="14.45" customHeight="1">
      <c r="A54" s="168" t="s">
        <v>122</v>
      </c>
      <c r="B54" s="169" t="s">
        <v>73</v>
      </c>
      <c r="C54" s="167">
        <v>215.14</v>
      </c>
      <c r="D54" s="209">
        <v>365</v>
      </c>
      <c r="E54" s="167"/>
      <c r="F54" s="163">
        <v>0.25</v>
      </c>
      <c r="H54" s="17">
        <v>350</v>
      </c>
      <c r="I54" s="160">
        <f>Volledige_prothese_zkz!F33</f>
        <v>316.98000000000008</v>
      </c>
    </row>
    <row r="55" spans="1:11" ht="14.45" customHeight="1">
      <c r="A55" s="168" t="s">
        <v>123</v>
      </c>
      <c r="B55" s="169" t="s">
        <v>0</v>
      </c>
      <c r="C55" s="167">
        <v>349.61</v>
      </c>
      <c r="D55" s="209">
        <v>678</v>
      </c>
      <c r="E55" s="167"/>
      <c r="F55" s="163">
        <v>0.25</v>
      </c>
      <c r="H55" s="17">
        <v>650</v>
      </c>
      <c r="I55" s="160">
        <f>Volledige_prothese_zkz!F16</f>
        <v>602.55000000000007</v>
      </c>
      <c r="K55" s="160"/>
    </row>
    <row r="56" spans="1:11" ht="14.45" customHeight="1">
      <c r="A56" s="168"/>
      <c r="B56" s="169"/>
      <c r="C56" s="167"/>
      <c r="D56" s="207"/>
      <c r="E56" s="167"/>
    </row>
    <row r="57" spans="1:11" ht="14.45" customHeight="1">
      <c r="A57" s="311" t="s">
        <v>1</v>
      </c>
      <c r="B57" s="311"/>
      <c r="C57" s="167"/>
      <c r="D57" s="207"/>
      <c r="E57" s="167"/>
    </row>
    <row r="58" spans="1:11" ht="14.45" customHeight="1">
      <c r="A58" s="168" t="s">
        <v>2</v>
      </c>
      <c r="B58" s="169" t="s">
        <v>5</v>
      </c>
      <c r="C58" s="167">
        <v>26.89</v>
      </c>
      <c r="D58" s="207"/>
      <c r="E58" s="167"/>
      <c r="F58" s="163">
        <v>0.25</v>
      </c>
    </row>
    <row r="59" spans="1:11" ht="14.45" customHeight="1">
      <c r="A59" s="168" t="s">
        <v>3</v>
      </c>
      <c r="B59" s="169" t="s">
        <v>6</v>
      </c>
      <c r="C59" s="167">
        <v>59.16</v>
      </c>
      <c r="D59" s="207"/>
      <c r="E59" s="167"/>
      <c r="F59" s="163">
        <v>0.25</v>
      </c>
    </row>
    <row r="60" spans="1:11" ht="14.45" customHeight="1">
      <c r="A60" s="168" t="s">
        <v>4</v>
      </c>
      <c r="B60" s="169" t="s">
        <v>7</v>
      </c>
      <c r="C60" s="167">
        <v>32.270000000000003</v>
      </c>
      <c r="D60" s="207"/>
      <c r="E60" s="167"/>
      <c r="F60" s="163">
        <v>0.25</v>
      </c>
    </row>
    <row r="61" spans="1:11" ht="14.45" customHeight="1">
      <c r="A61" s="168" t="s">
        <v>510</v>
      </c>
      <c r="B61" s="169" t="s">
        <v>530</v>
      </c>
      <c r="C61" s="167">
        <v>53.79</v>
      </c>
      <c r="D61" s="209">
        <v>51</v>
      </c>
      <c r="E61" s="167"/>
      <c r="F61" s="163">
        <v>0.25</v>
      </c>
      <c r="I61" s="160">
        <f>Volledige_prothese_zkz!F58</f>
        <v>122.97</v>
      </c>
    </row>
    <row r="62" spans="1:11" ht="14.45" customHeight="1">
      <c r="A62" s="168"/>
      <c r="B62" s="169"/>
      <c r="C62" s="167"/>
      <c r="D62" s="207"/>
      <c r="E62" s="167"/>
    </row>
    <row r="63" spans="1:11" ht="14.45" customHeight="1">
      <c r="A63" s="311" t="s">
        <v>8</v>
      </c>
      <c r="B63" s="311"/>
      <c r="C63" s="167"/>
      <c r="D63" s="207"/>
      <c r="E63" s="167"/>
    </row>
    <row r="64" spans="1:11" ht="14.45" customHeight="1">
      <c r="A64" s="168" t="s">
        <v>9</v>
      </c>
      <c r="B64" s="169" t="s">
        <v>10</v>
      </c>
      <c r="C64" s="167">
        <v>37.780634055372268</v>
      </c>
      <c r="D64" s="207"/>
      <c r="E64" s="167"/>
      <c r="F64" s="163">
        <v>0.1</v>
      </c>
    </row>
    <row r="65" spans="1:11" ht="14.45" customHeight="1">
      <c r="A65" s="168" t="s">
        <v>124</v>
      </c>
      <c r="B65" s="169" t="s">
        <v>11</v>
      </c>
      <c r="C65" s="167">
        <v>37.780634055372268</v>
      </c>
      <c r="D65" s="209">
        <v>95</v>
      </c>
      <c r="E65" s="167"/>
      <c r="F65" s="163">
        <v>0.1</v>
      </c>
      <c r="H65" s="17">
        <v>100</v>
      </c>
      <c r="I65" s="160"/>
    </row>
    <row r="66" spans="1:11" ht="14.45" customHeight="1">
      <c r="A66" s="168" t="s">
        <v>125</v>
      </c>
      <c r="B66" s="169" t="s">
        <v>12</v>
      </c>
      <c r="C66" s="167">
        <v>80.96433797159662</v>
      </c>
      <c r="D66" s="209">
        <v>95</v>
      </c>
      <c r="E66" s="167"/>
      <c r="F66" s="163">
        <v>0.1</v>
      </c>
      <c r="H66" s="17">
        <v>100</v>
      </c>
      <c r="I66" s="160">
        <f>Rebasen_zkz!F7</f>
        <v>99.929999999999993</v>
      </c>
    </row>
    <row r="67" spans="1:11" ht="14.45" customHeight="1">
      <c r="A67" s="168" t="s">
        <v>126</v>
      </c>
      <c r="B67" s="169" t="s">
        <v>13</v>
      </c>
      <c r="C67" s="167">
        <v>16.188782097260081</v>
      </c>
      <c r="D67" s="207"/>
      <c r="E67" s="167"/>
      <c r="F67" s="163">
        <v>0.1</v>
      </c>
      <c r="H67" s="17">
        <v>100</v>
      </c>
    </row>
    <row r="68" spans="1:11" ht="14.45" customHeight="1">
      <c r="A68" s="168" t="s">
        <v>127</v>
      </c>
      <c r="B68" s="169" t="s">
        <v>14</v>
      </c>
      <c r="C68" s="167">
        <v>43.183703916224367</v>
      </c>
      <c r="D68" s="207"/>
      <c r="E68" s="167"/>
      <c r="F68" s="163">
        <v>0.1</v>
      </c>
      <c r="H68" s="17">
        <v>100</v>
      </c>
    </row>
    <row r="70" spans="1:11">
      <c r="K70" s="25"/>
    </row>
    <row r="71" spans="1:11">
      <c r="A71" s="310" t="s">
        <v>669</v>
      </c>
      <c r="B71" s="310"/>
      <c r="C71" s="310"/>
      <c r="D71" s="310"/>
      <c r="E71" s="310"/>
      <c r="F71" s="310"/>
      <c r="G71" s="310"/>
      <c r="H71" s="310"/>
      <c r="I71" s="310"/>
      <c r="J71" s="310"/>
      <c r="K71" s="310"/>
    </row>
    <row r="72" spans="1:11" ht="14.1" customHeight="1">
      <c r="A72" s="309" t="s">
        <v>670</v>
      </c>
      <c r="B72" s="310"/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ht="15.6" customHeight="1">
      <c r="A73" s="309" t="s">
        <v>671</v>
      </c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1:11" ht="14.1" customHeight="1">
      <c r="A74" s="309" t="s">
        <v>672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</row>
  </sheetData>
  <mergeCells count="10">
    <mergeCell ref="F2:G2"/>
    <mergeCell ref="H1:I1"/>
    <mergeCell ref="K1:K2"/>
    <mergeCell ref="A1:B1"/>
    <mergeCell ref="A74:K74"/>
    <mergeCell ref="A71:K71"/>
    <mergeCell ref="A72:K72"/>
    <mergeCell ref="A73:K73"/>
    <mergeCell ref="A57:B57"/>
    <mergeCell ref="A63:B63"/>
  </mergeCells>
  <phoneticPr fontId="26" type="noConversion"/>
  <hyperlinks>
    <hyperlink ref="K1" location="Inhoudsopgave!A1" display="Naar inhouds- opgave"/>
    <hyperlink ref="A72" r:id="rId1"/>
    <hyperlink ref="A73" r:id="rId2"/>
    <hyperlink ref="A74" r:id="rId3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4"/>
  <sheetViews>
    <sheetView view="pageBreakPreview" zoomScale="60" zoomScaleNormal="75" zoomScalePageLayoutView="75" workbookViewId="0">
      <selection activeCell="J43" sqref="J43"/>
    </sheetView>
  </sheetViews>
  <sheetFormatPr defaultColWidth="10.85546875" defaultRowHeight="18"/>
  <cols>
    <col min="1" max="1" width="24.28515625" style="42" customWidth="1"/>
    <col min="2" max="2" width="147.85546875" style="43" customWidth="1"/>
    <col min="3" max="3" width="81" style="189" customWidth="1"/>
    <col min="4" max="16384" width="10.85546875" style="31"/>
  </cols>
  <sheetData>
    <row r="1" spans="1:4">
      <c r="A1" s="29" t="s">
        <v>91</v>
      </c>
      <c r="B1" s="30" t="s">
        <v>133</v>
      </c>
      <c r="C1" s="185" t="s">
        <v>134</v>
      </c>
    </row>
    <row r="2" spans="1:4">
      <c r="A2" s="32">
        <v>1</v>
      </c>
      <c r="B2" s="33" t="s">
        <v>135</v>
      </c>
      <c r="C2" s="186"/>
      <c r="D2" s="34"/>
    </row>
    <row r="3" spans="1:4">
      <c r="A3" s="32">
        <v>11</v>
      </c>
      <c r="B3" s="33" t="s">
        <v>136</v>
      </c>
      <c r="C3" s="186"/>
      <c r="D3" s="34"/>
    </row>
    <row r="4" spans="1:4">
      <c r="A4" s="32">
        <v>21</v>
      </c>
      <c r="B4" s="33" t="s">
        <v>137</v>
      </c>
      <c r="C4" s="186"/>
      <c r="D4" s="34"/>
    </row>
    <row r="5" spans="1:4">
      <c r="A5" s="35">
        <v>101</v>
      </c>
      <c r="B5" s="33" t="s">
        <v>138</v>
      </c>
      <c r="C5" s="187"/>
      <c r="D5" s="34"/>
    </row>
    <row r="6" spans="1:4">
      <c r="A6" s="35">
        <v>103</v>
      </c>
      <c r="B6" s="33" t="s">
        <v>139</v>
      </c>
      <c r="C6" s="188">
        <v>2.2999999999999998</v>
      </c>
      <c r="D6" s="34"/>
    </row>
    <row r="7" spans="1:4">
      <c r="A7" s="35">
        <v>105</v>
      </c>
      <c r="B7" s="33" t="s">
        <v>140</v>
      </c>
      <c r="C7" s="188">
        <v>2.5499999999999998</v>
      </c>
      <c r="D7" s="34"/>
    </row>
    <row r="8" spans="1:4">
      <c r="A8" s="35">
        <v>106</v>
      </c>
      <c r="B8" s="33" t="s">
        <v>26</v>
      </c>
      <c r="C8" s="188">
        <v>2.2999999999999998</v>
      </c>
      <c r="D8" s="34"/>
    </row>
    <row r="9" spans="1:4" ht="36">
      <c r="A9" s="35">
        <v>107</v>
      </c>
      <c r="B9" s="33" t="s">
        <v>27</v>
      </c>
      <c r="C9" s="188">
        <v>8.85</v>
      </c>
      <c r="D9" s="34"/>
    </row>
    <row r="10" spans="1:4">
      <c r="A10" s="35">
        <v>120</v>
      </c>
      <c r="B10" s="33" t="s">
        <v>28</v>
      </c>
      <c r="C10" s="188">
        <v>13.58</v>
      </c>
      <c r="D10" s="34"/>
    </row>
    <row r="11" spans="1:4">
      <c r="A11" s="35">
        <v>121</v>
      </c>
      <c r="B11" s="33" t="s">
        <v>29</v>
      </c>
      <c r="C11" s="188">
        <v>13.58</v>
      </c>
      <c r="D11" s="34"/>
    </row>
    <row r="12" spans="1:4">
      <c r="A12" s="35">
        <v>201</v>
      </c>
      <c r="B12" s="33" t="s">
        <v>30</v>
      </c>
      <c r="C12" s="188">
        <v>13.58</v>
      </c>
      <c r="D12" s="34"/>
    </row>
    <row r="13" spans="1:4">
      <c r="A13" s="35">
        <v>202</v>
      </c>
      <c r="B13" s="33" t="s">
        <v>31</v>
      </c>
      <c r="C13" s="188">
        <v>13.58</v>
      </c>
      <c r="D13" s="34"/>
    </row>
    <row r="14" spans="1:4">
      <c r="A14" s="35">
        <v>501</v>
      </c>
      <c r="B14" s="33" t="s">
        <v>32</v>
      </c>
      <c r="C14" s="188"/>
      <c r="D14" s="34"/>
    </row>
    <row r="15" spans="1:4">
      <c r="A15" s="35">
        <v>502</v>
      </c>
      <c r="B15" s="33" t="s">
        <v>33</v>
      </c>
      <c r="C15" s="188"/>
      <c r="D15" s="34"/>
    </row>
    <row r="16" spans="1:4">
      <c r="A16" s="35">
        <v>503</v>
      </c>
      <c r="B16" s="33" t="s">
        <v>34</v>
      </c>
      <c r="C16" s="188"/>
      <c r="D16" s="34"/>
    </row>
    <row r="17" spans="1:4">
      <c r="A17" s="35">
        <v>515</v>
      </c>
      <c r="B17" s="33" t="s">
        <v>35</v>
      </c>
      <c r="C17" s="188"/>
      <c r="D17" s="34"/>
    </row>
    <row r="18" spans="1:4">
      <c r="A18" s="35">
        <v>551</v>
      </c>
      <c r="B18" s="33" t="s">
        <v>36</v>
      </c>
      <c r="C18" s="188"/>
      <c r="D18" s="34"/>
    </row>
    <row r="19" spans="1:4">
      <c r="A19" s="35">
        <v>552</v>
      </c>
      <c r="B19" s="33" t="s">
        <v>37</v>
      </c>
      <c r="C19" s="188"/>
      <c r="D19" s="34"/>
    </row>
    <row r="20" spans="1:4">
      <c r="A20" s="35">
        <v>553</v>
      </c>
      <c r="B20" s="33" t="s">
        <v>38</v>
      </c>
      <c r="C20" s="188"/>
      <c r="D20" s="34"/>
    </row>
    <row r="21" spans="1:4">
      <c r="A21" s="35">
        <v>701</v>
      </c>
      <c r="B21" s="33" t="s">
        <v>39</v>
      </c>
      <c r="C21" s="188"/>
      <c r="D21" s="34"/>
    </row>
    <row r="22" spans="1:4">
      <c r="A22" s="35">
        <v>702</v>
      </c>
      <c r="B22" s="33" t="s">
        <v>40</v>
      </c>
      <c r="C22" s="188"/>
      <c r="D22" s="34"/>
    </row>
    <row r="23" spans="1:4">
      <c r="A23" s="35">
        <v>703</v>
      </c>
      <c r="B23" s="33" t="s">
        <v>41</v>
      </c>
      <c r="C23" s="188"/>
      <c r="D23" s="34"/>
    </row>
    <row r="24" spans="1:4">
      <c r="A24" s="35">
        <v>704</v>
      </c>
      <c r="B24" s="33" t="s">
        <v>42</v>
      </c>
      <c r="C24" s="188"/>
      <c r="D24" s="34"/>
    </row>
    <row r="25" spans="1:4">
      <c r="A25" s="35">
        <v>801</v>
      </c>
      <c r="B25" s="33" t="s">
        <v>162</v>
      </c>
      <c r="C25" s="188"/>
      <c r="D25" s="34"/>
    </row>
    <row r="26" spans="1:4">
      <c r="A26" s="35">
        <v>802</v>
      </c>
      <c r="B26" s="33" t="s">
        <v>163</v>
      </c>
      <c r="C26" s="188"/>
      <c r="D26" s="34"/>
    </row>
    <row r="27" spans="1:4">
      <c r="A27" s="35">
        <v>815</v>
      </c>
      <c r="B27" s="33" t="s">
        <v>164</v>
      </c>
      <c r="C27" s="188"/>
      <c r="D27" s="34"/>
    </row>
    <row r="28" spans="1:4">
      <c r="A28" s="35">
        <v>816</v>
      </c>
      <c r="B28" s="33" t="s">
        <v>165</v>
      </c>
      <c r="C28" s="188"/>
      <c r="D28" s="34"/>
    </row>
    <row r="29" spans="1:4">
      <c r="A29" s="35">
        <v>851</v>
      </c>
      <c r="B29" s="33" t="s">
        <v>166</v>
      </c>
      <c r="C29" s="188"/>
      <c r="D29" s="34"/>
    </row>
    <row r="30" spans="1:4">
      <c r="A30" s="35">
        <v>901</v>
      </c>
      <c r="B30" s="33" t="s">
        <v>167</v>
      </c>
      <c r="C30" s="188"/>
      <c r="D30" s="34"/>
    </row>
    <row r="31" spans="1:4">
      <c r="A31" s="35">
        <v>902</v>
      </c>
      <c r="B31" s="33" t="s">
        <v>168</v>
      </c>
      <c r="C31" s="188"/>
      <c r="D31" s="34"/>
    </row>
    <row r="32" spans="1:4">
      <c r="A32" s="35">
        <v>903</v>
      </c>
      <c r="B32" s="33" t="s">
        <v>169</v>
      </c>
      <c r="C32" s="188"/>
      <c r="D32" s="34"/>
    </row>
    <row r="33" spans="1:4">
      <c r="A33" s="35">
        <v>911</v>
      </c>
      <c r="B33" s="33" t="s">
        <v>170</v>
      </c>
      <c r="C33" s="188"/>
      <c r="D33" s="34"/>
    </row>
    <row r="34" spans="1:4">
      <c r="A34" s="35">
        <v>912</v>
      </c>
      <c r="B34" s="33" t="s">
        <v>171</v>
      </c>
      <c r="C34" s="188"/>
      <c r="D34" s="34"/>
    </row>
    <row r="35" spans="1:4">
      <c r="A35" s="35">
        <v>913</v>
      </c>
      <c r="B35" s="33" t="s">
        <v>172</v>
      </c>
      <c r="C35" s="188"/>
      <c r="D35" s="34"/>
    </row>
    <row r="36" spans="1:4">
      <c r="A36" s="35">
        <v>961</v>
      </c>
      <c r="B36" s="33" t="s">
        <v>173</v>
      </c>
      <c r="C36" s="188"/>
      <c r="D36" s="34"/>
    </row>
    <row r="37" spans="1:4">
      <c r="A37" s="35">
        <v>962</v>
      </c>
      <c r="B37" s="33" t="s">
        <v>174</v>
      </c>
      <c r="C37" s="188"/>
      <c r="D37" s="34"/>
    </row>
    <row r="38" spans="1:4" ht="36">
      <c r="A38" s="35">
        <v>1001</v>
      </c>
      <c r="B38" s="33" t="s">
        <v>175</v>
      </c>
      <c r="C38" s="188">
        <v>6.18</v>
      </c>
      <c r="D38" s="34"/>
    </row>
    <row r="39" spans="1:4">
      <c r="A39" s="35">
        <v>1002</v>
      </c>
      <c r="B39" s="33" t="s">
        <v>176</v>
      </c>
      <c r="C39" s="188">
        <v>7.28</v>
      </c>
      <c r="D39" s="34"/>
    </row>
    <row r="40" spans="1:4" ht="36">
      <c r="A40" s="35">
        <v>1003</v>
      </c>
      <c r="B40" s="33" t="s">
        <v>177</v>
      </c>
      <c r="C40" s="188">
        <v>11.04</v>
      </c>
      <c r="D40" s="34"/>
    </row>
    <row r="41" spans="1:4">
      <c r="A41" s="35">
        <v>1004</v>
      </c>
      <c r="B41" s="36" t="s">
        <v>178</v>
      </c>
      <c r="C41" s="188">
        <v>6.18</v>
      </c>
      <c r="D41" s="34"/>
    </row>
    <row r="42" spans="1:4">
      <c r="A42" s="35">
        <v>1005</v>
      </c>
      <c r="B42" s="33" t="s">
        <v>179</v>
      </c>
      <c r="C42" s="188">
        <v>6.18</v>
      </c>
      <c r="D42" s="34"/>
    </row>
    <row r="43" spans="1:4">
      <c r="A43" s="35">
        <v>1022</v>
      </c>
      <c r="B43" s="33" t="s">
        <v>180</v>
      </c>
      <c r="C43" s="188">
        <v>21.95</v>
      </c>
      <c r="D43" s="34"/>
    </row>
    <row r="44" spans="1:4">
      <c r="A44" s="35">
        <v>1023</v>
      </c>
      <c r="B44" s="33" t="s">
        <v>181</v>
      </c>
      <c r="C44" s="188">
        <v>36.5</v>
      </c>
      <c r="D44" s="34"/>
    </row>
    <row r="45" spans="1:4">
      <c r="A45" s="35">
        <v>1052</v>
      </c>
      <c r="B45" s="33" t="s">
        <v>182</v>
      </c>
      <c r="C45" s="188">
        <v>11.04</v>
      </c>
      <c r="D45" s="34"/>
    </row>
    <row r="46" spans="1:4">
      <c r="A46" s="35">
        <v>1053</v>
      </c>
      <c r="B46" s="33" t="s">
        <v>183</v>
      </c>
      <c r="C46" s="188">
        <v>14.55</v>
      </c>
      <c r="D46" s="34"/>
    </row>
    <row r="47" spans="1:4">
      <c r="A47" s="35">
        <v>1054</v>
      </c>
      <c r="B47" s="33" t="s">
        <v>184</v>
      </c>
      <c r="C47" s="188">
        <v>21.95</v>
      </c>
      <c r="D47" s="34"/>
    </row>
    <row r="48" spans="1:4">
      <c r="A48" s="35">
        <v>1061</v>
      </c>
      <c r="B48" s="33" t="s">
        <v>185</v>
      </c>
      <c r="C48" s="188">
        <v>28.98</v>
      </c>
      <c r="D48" s="34"/>
    </row>
    <row r="49" spans="1:4">
      <c r="A49" s="35">
        <v>1062</v>
      </c>
      <c r="B49" s="33" t="s">
        <v>186</v>
      </c>
      <c r="C49" s="188">
        <v>14.55</v>
      </c>
      <c r="D49" s="34"/>
    </row>
    <row r="50" spans="1:4">
      <c r="A50" s="35">
        <v>1101</v>
      </c>
      <c r="B50" s="33" t="s">
        <v>74</v>
      </c>
      <c r="C50" s="188">
        <v>16.61</v>
      </c>
      <c r="D50" s="34"/>
    </row>
    <row r="51" spans="1:4">
      <c r="A51" s="35">
        <v>1102</v>
      </c>
      <c r="B51" s="33" t="s">
        <v>75</v>
      </c>
      <c r="C51" s="188">
        <v>21.95</v>
      </c>
      <c r="D51" s="34"/>
    </row>
    <row r="52" spans="1:4">
      <c r="A52" s="35">
        <v>1103</v>
      </c>
      <c r="B52" s="33" t="s">
        <v>76</v>
      </c>
      <c r="C52" s="188">
        <v>25.71</v>
      </c>
      <c r="D52" s="34"/>
    </row>
    <row r="53" spans="1:4" ht="36">
      <c r="A53" s="35">
        <v>1104</v>
      </c>
      <c r="B53" s="33" t="s">
        <v>77</v>
      </c>
      <c r="C53" s="188">
        <v>34.68</v>
      </c>
      <c r="D53" s="34"/>
    </row>
    <row r="54" spans="1:4">
      <c r="A54" s="35">
        <v>1105</v>
      </c>
      <c r="B54" s="33" t="s">
        <v>78</v>
      </c>
      <c r="C54" s="188">
        <v>40.020000000000003</v>
      </c>
      <c r="D54" s="34"/>
    </row>
    <row r="55" spans="1:4">
      <c r="A55" s="35">
        <v>1106</v>
      </c>
      <c r="B55" s="33" t="s">
        <v>79</v>
      </c>
      <c r="C55" s="188">
        <v>51.06</v>
      </c>
      <c r="D55" s="34"/>
    </row>
    <row r="56" spans="1:4">
      <c r="A56" s="35">
        <v>1107</v>
      </c>
      <c r="B56" s="33" t="s">
        <v>80</v>
      </c>
      <c r="C56" s="188">
        <v>46.93</v>
      </c>
      <c r="D56" s="34"/>
    </row>
    <row r="57" spans="1:4">
      <c r="A57" s="35">
        <v>1116</v>
      </c>
      <c r="B57" s="33" t="s">
        <v>81</v>
      </c>
      <c r="C57" s="188">
        <v>34.32</v>
      </c>
      <c r="D57" s="34"/>
    </row>
    <row r="58" spans="1:4">
      <c r="A58" s="35">
        <v>1118</v>
      </c>
      <c r="B58" s="33" t="s">
        <v>82</v>
      </c>
      <c r="C58" s="188">
        <v>43.54</v>
      </c>
      <c r="D58" s="34"/>
    </row>
    <row r="59" spans="1:4">
      <c r="A59" s="35">
        <v>1152</v>
      </c>
      <c r="B59" s="33" t="s">
        <v>83</v>
      </c>
      <c r="C59" s="188">
        <v>9.2200000000000006</v>
      </c>
      <c r="D59" s="34"/>
    </row>
    <row r="60" spans="1:4">
      <c r="A60" s="35">
        <v>1154</v>
      </c>
      <c r="B60" s="33" t="s">
        <v>84</v>
      </c>
      <c r="C60" s="188">
        <v>14.55</v>
      </c>
      <c r="D60" s="34"/>
    </row>
    <row r="61" spans="1:4">
      <c r="A61" s="35">
        <v>1202</v>
      </c>
      <c r="B61" s="33" t="s">
        <v>85</v>
      </c>
      <c r="C61" s="188">
        <v>34.32</v>
      </c>
      <c r="D61" s="34"/>
    </row>
    <row r="62" spans="1:4">
      <c r="A62" s="35">
        <v>1225</v>
      </c>
      <c r="B62" s="33" t="s">
        <v>86</v>
      </c>
      <c r="C62" s="188">
        <v>21.95</v>
      </c>
      <c r="D62" s="34"/>
    </row>
    <row r="63" spans="1:4">
      <c r="A63" s="35">
        <v>1251</v>
      </c>
      <c r="B63" s="33" t="s">
        <v>87</v>
      </c>
      <c r="C63" s="188">
        <v>9.2200000000000006</v>
      </c>
      <c r="D63" s="34"/>
    </row>
    <row r="64" spans="1:4">
      <c r="A64" s="35">
        <v>1253</v>
      </c>
      <c r="B64" s="33" t="s">
        <v>88</v>
      </c>
      <c r="C64" s="188">
        <v>14.55</v>
      </c>
      <c r="D64" s="34"/>
    </row>
    <row r="65" spans="1:4">
      <c r="A65" s="35">
        <v>1256</v>
      </c>
      <c r="B65" s="33" t="s">
        <v>211</v>
      </c>
      <c r="C65" s="188">
        <v>9.6999999999999993</v>
      </c>
      <c r="D65" s="34"/>
    </row>
    <row r="66" spans="1:4">
      <c r="A66" s="35">
        <v>1320</v>
      </c>
      <c r="B66" s="33" t="s">
        <v>212</v>
      </c>
      <c r="C66" s="188">
        <v>18.43</v>
      </c>
      <c r="D66" s="34"/>
    </row>
    <row r="67" spans="1:4">
      <c r="A67" s="35">
        <v>1330</v>
      </c>
      <c r="B67" s="33" t="s">
        <v>213</v>
      </c>
      <c r="C67" s="188">
        <v>39.049999999999997</v>
      </c>
      <c r="D67" s="34"/>
    </row>
    <row r="68" spans="1:4">
      <c r="A68" s="35">
        <v>1340</v>
      </c>
      <c r="B68" s="33" t="s">
        <v>214</v>
      </c>
      <c r="C68" s="188">
        <v>49.24</v>
      </c>
      <c r="D68" s="34"/>
    </row>
    <row r="69" spans="1:4">
      <c r="A69" s="35">
        <v>1370</v>
      </c>
      <c r="B69" s="33" t="s">
        <v>215</v>
      </c>
      <c r="C69" s="188">
        <v>28.98</v>
      </c>
      <c r="D69" s="34"/>
    </row>
    <row r="70" spans="1:4">
      <c r="A70" s="35">
        <v>1380</v>
      </c>
      <c r="B70" s="33" t="s">
        <v>216</v>
      </c>
      <c r="C70" s="188">
        <v>53.24</v>
      </c>
      <c r="D70" s="34"/>
    </row>
    <row r="71" spans="1:4">
      <c r="A71" s="35">
        <v>1390</v>
      </c>
      <c r="B71" s="33" t="s">
        <v>217</v>
      </c>
      <c r="C71" s="188">
        <v>53.24</v>
      </c>
      <c r="D71" s="34"/>
    </row>
    <row r="72" spans="1:4">
      <c r="A72" s="35">
        <v>1401</v>
      </c>
      <c r="B72" s="33" t="s">
        <v>218</v>
      </c>
      <c r="C72" s="188">
        <v>9.1</v>
      </c>
      <c r="D72" s="34"/>
    </row>
    <row r="73" spans="1:4">
      <c r="A73" s="35">
        <v>1402</v>
      </c>
      <c r="B73" s="33" t="s">
        <v>219</v>
      </c>
      <c r="C73" s="188">
        <v>12.73</v>
      </c>
      <c r="D73" s="34"/>
    </row>
    <row r="74" spans="1:4">
      <c r="A74" s="35">
        <v>1405</v>
      </c>
      <c r="B74" s="33" t="s">
        <v>220</v>
      </c>
      <c r="C74" s="188">
        <v>11.04</v>
      </c>
      <c r="D74" s="34"/>
    </row>
    <row r="75" spans="1:4" ht="36">
      <c r="A75" s="35">
        <v>1410</v>
      </c>
      <c r="B75" s="33" t="s">
        <v>221</v>
      </c>
      <c r="C75" s="188">
        <v>37.72</v>
      </c>
      <c r="D75" s="34"/>
    </row>
    <row r="76" spans="1:4">
      <c r="A76" s="35">
        <v>1420</v>
      </c>
      <c r="B76" s="33" t="s">
        <v>222</v>
      </c>
      <c r="C76" s="188">
        <v>5.46</v>
      </c>
      <c r="D76" s="34"/>
    </row>
    <row r="77" spans="1:4" ht="36">
      <c r="A77" s="35">
        <v>1455</v>
      </c>
      <c r="B77" s="33" t="s">
        <v>223</v>
      </c>
      <c r="C77" s="188">
        <v>18.43</v>
      </c>
      <c r="D77" s="34"/>
    </row>
    <row r="78" spans="1:4">
      <c r="A78" s="35">
        <v>1462</v>
      </c>
      <c r="B78" s="33" t="s">
        <v>224</v>
      </c>
      <c r="C78" s="188">
        <v>9.1</v>
      </c>
      <c r="D78" s="34"/>
    </row>
    <row r="79" spans="1:4">
      <c r="A79" s="35">
        <v>1465</v>
      </c>
      <c r="B79" s="33" t="s">
        <v>225</v>
      </c>
      <c r="C79" s="188">
        <v>12.01</v>
      </c>
      <c r="D79" s="34"/>
    </row>
    <row r="80" spans="1:4">
      <c r="A80" s="35">
        <v>1466</v>
      </c>
      <c r="B80" s="33" t="s">
        <v>226</v>
      </c>
      <c r="C80" s="188">
        <v>7.52</v>
      </c>
      <c r="D80" s="34"/>
    </row>
    <row r="81" spans="1:4">
      <c r="A81" s="35">
        <v>1475</v>
      </c>
      <c r="B81" s="33" t="s">
        <v>227</v>
      </c>
      <c r="C81" s="188">
        <v>25.22</v>
      </c>
      <c r="D81" s="34"/>
    </row>
    <row r="82" spans="1:4">
      <c r="A82" s="35">
        <v>1520</v>
      </c>
      <c r="B82" s="33" t="s">
        <v>228</v>
      </c>
      <c r="C82" s="188">
        <v>45.72</v>
      </c>
      <c r="D82" s="34"/>
    </row>
    <row r="83" spans="1:4">
      <c r="A83" s="35">
        <v>1530</v>
      </c>
      <c r="B83" s="33" t="s">
        <v>229</v>
      </c>
      <c r="C83" s="188">
        <v>53.48</v>
      </c>
      <c r="D83" s="34"/>
    </row>
    <row r="84" spans="1:4">
      <c r="A84" s="35">
        <v>1540</v>
      </c>
      <c r="B84" s="33" t="s">
        <v>230</v>
      </c>
      <c r="C84" s="188">
        <v>54.21</v>
      </c>
      <c r="D84" s="34"/>
    </row>
    <row r="85" spans="1:4">
      <c r="A85" s="35">
        <v>1570</v>
      </c>
      <c r="B85" s="33" t="s">
        <v>231</v>
      </c>
      <c r="C85" s="188">
        <v>45.72</v>
      </c>
      <c r="D85" s="34"/>
    </row>
    <row r="86" spans="1:4">
      <c r="A86" s="35">
        <v>1580</v>
      </c>
      <c r="B86" s="33" t="s">
        <v>141</v>
      </c>
      <c r="C86" s="188">
        <v>60.15</v>
      </c>
      <c r="D86" s="34"/>
    </row>
    <row r="87" spans="1:4">
      <c r="A87" s="35">
        <v>1590</v>
      </c>
      <c r="B87" s="33" t="s">
        <v>142</v>
      </c>
      <c r="C87" s="188">
        <v>61.36</v>
      </c>
      <c r="D87" s="34"/>
    </row>
    <row r="88" spans="1:4">
      <c r="A88" s="35">
        <v>1701</v>
      </c>
      <c r="B88" s="33" t="s">
        <v>143</v>
      </c>
      <c r="C88" s="188">
        <v>27.29</v>
      </c>
      <c r="D88" s="34"/>
    </row>
    <row r="89" spans="1:4">
      <c r="A89" s="35">
        <v>1702</v>
      </c>
      <c r="B89" s="33" t="s">
        <v>144</v>
      </c>
      <c r="C89" s="188">
        <v>18.43</v>
      </c>
      <c r="D89" s="34"/>
    </row>
    <row r="90" spans="1:4">
      <c r="A90" s="35">
        <v>1703</v>
      </c>
      <c r="B90" s="33" t="s">
        <v>145</v>
      </c>
      <c r="C90" s="188">
        <v>9.4600000000000009</v>
      </c>
      <c r="D90" s="34"/>
    </row>
    <row r="91" spans="1:4">
      <c r="A91" s="35">
        <v>1704</v>
      </c>
      <c r="B91" s="33" t="s">
        <v>146</v>
      </c>
      <c r="C91" s="188">
        <v>9.94</v>
      </c>
      <c r="D91" s="34"/>
    </row>
    <row r="92" spans="1:4">
      <c r="A92" s="35">
        <v>1705</v>
      </c>
      <c r="B92" s="33" t="s">
        <v>147</v>
      </c>
      <c r="C92" s="188">
        <v>13.1</v>
      </c>
      <c r="D92" s="34"/>
    </row>
    <row r="93" spans="1:4">
      <c r="A93" s="35">
        <v>1706</v>
      </c>
      <c r="B93" s="33" t="s">
        <v>148</v>
      </c>
      <c r="C93" s="188">
        <v>23.16</v>
      </c>
      <c r="D93" s="34"/>
    </row>
    <row r="94" spans="1:4">
      <c r="A94" s="35">
        <v>1707</v>
      </c>
      <c r="B94" s="33" t="s">
        <v>149</v>
      </c>
      <c r="C94" s="188">
        <v>54.21</v>
      </c>
      <c r="D94" s="34"/>
    </row>
    <row r="95" spans="1:4">
      <c r="A95" s="35">
        <v>1708</v>
      </c>
      <c r="B95" s="33" t="s">
        <v>150</v>
      </c>
      <c r="C95" s="188">
        <v>9.94</v>
      </c>
      <c r="D95" s="34"/>
    </row>
    <row r="96" spans="1:4">
      <c r="A96" s="35">
        <v>1711</v>
      </c>
      <c r="B96" s="33" t="s">
        <v>151</v>
      </c>
      <c r="C96" s="188">
        <v>36.5</v>
      </c>
      <c r="D96" s="34"/>
    </row>
    <row r="97" spans="1:4">
      <c r="A97" s="35">
        <v>1715</v>
      </c>
      <c r="B97" s="33" t="s">
        <v>152</v>
      </c>
      <c r="C97" s="188">
        <v>9.94</v>
      </c>
      <c r="D97" s="34"/>
    </row>
    <row r="98" spans="1:4">
      <c r="A98" s="35">
        <v>1716</v>
      </c>
      <c r="B98" s="33" t="s">
        <v>153</v>
      </c>
      <c r="C98" s="188">
        <v>20.010000000000002</v>
      </c>
      <c r="D98" s="34"/>
    </row>
    <row r="99" spans="1:4">
      <c r="A99" s="35">
        <v>1720</v>
      </c>
      <c r="B99" s="33" t="s">
        <v>154</v>
      </c>
      <c r="C99" s="188">
        <v>33.71</v>
      </c>
      <c r="D99" s="34"/>
    </row>
    <row r="100" spans="1:4">
      <c r="A100" s="35">
        <v>1721</v>
      </c>
      <c r="B100" s="33" t="s">
        <v>155</v>
      </c>
      <c r="C100" s="188">
        <v>45.96</v>
      </c>
      <c r="D100" s="34"/>
    </row>
    <row r="101" spans="1:4">
      <c r="A101" s="35">
        <v>1724</v>
      </c>
      <c r="B101" s="33" t="s">
        <v>156</v>
      </c>
      <c r="C101" s="188">
        <v>69.37</v>
      </c>
      <c r="D101" s="34"/>
    </row>
    <row r="102" spans="1:4">
      <c r="A102" s="35">
        <v>1751</v>
      </c>
      <c r="B102" s="33" t="s">
        <v>157</v>
      </c>
      <c r="C102" s="188">
        <v>10.31</v>
      </c>
      <c r="D102" s="34"/>
    </row>
    <row r="103" spans="1:4">
      <c r="A103" s="35">
        <v>1765</v>
      </c>
      <c r="B103" s="33" t="s">
        <v>158</v>
      </c>
      <c r="C103" s="188">
        <v>33.11</v>
      </c>
      <c r="D103" s="34"/>
    </row>
    <row r="104" spans="1:4">
      <c r="A104" s="35">
        <v>1766</v>
      </c>
      <c r="B104" s="33" t="s">
        <v>159</v>
      </c>
      <c r="C104" s="188">
        <v>33.11</v>
      </c>
      <c r="D104" s="34"/>
    </row>
    <row r="105" spans="1:4">
      <c r="A105" s="35">
        <v>1768</v>
      </c>
      <c r="B105" s="33" t="s">
        <v>160</v>
      </c>
      <c r="C105" s="188">
        <v>5.58</v>
      </c>
      <c r="D105" s="34"/>
    </row>
    <row r="106" spans="1:4">
      <c r="A106" s="35">
        <v>1771</v>
      </c>
      <c r="B106" s="33" t="s">
        <v>161</v>
      </c>
      <c r="C106" s="188">
        <v>92.65</v>
      </c>
      <c r="D106" s="34"/>
    </row>
    <row r="107" spans="1:4">
      <c r="A107" s="35">
        <v>1774</v>
      </c>
      <c r="B107" s="33" t="s">
        <v>253</v>
      </c>
      <c r="C107" s="188">
        <v>19.77</v>
      </c>
      <c r="D107" s="34"/>
    </row>
    <row r="108" spans="1:4">
      <c r="A108" s="35">
        <v>1775</v>
      </c>
      <c r="B108" s="33" t="s">
        <v>254</v>
      </c>
      <c r="C108" s="188">
        <v>19.77</v>
      </c>
      <c r="D108" s="34"/>
    </row>
    <row r="109" spans="1:4">
      <c r="A109" s="35">
        <v>1810</v>
      </c>
      <c r="B109" s="33" t="s">
        <v>255</v>
      </c>
      <c r="C109" s="188">
        <v>21.95</v>
      </c>
      <c r="D109" s="34"/>
    </row>
    <row r="110" spans="1:4">
      <c r="A110" s="35">
        <v>1811</v>
      </c>
      <c r="B110" s="33" t="s">
        <v>256</v>
      </c>
      <c r="C110" s="188">
        <v>3.27</v>
      </c>
      <c r="D110" s="34"/>
    </row>
    <row r="111" spans="1:4">
      <c r="A111" s="35">
        <v>1812</v>
      </c>
      <c r="B111" s="33" t="s">
        <v>257</v>
      </c>
      <c r="C111" s="188">
        <v>8.85</v>
      </c>
      <c r="D111" s="34"/>
    </row>
    <row r="112" spans="1:4">
      <c r="A112" s="35">
        <v>1813</v>
      </c>
      <c r="B112" s="33" t="s">
        <v>258</v>
      </c>
      <c r="C112" s="188">
        <v>3.27</v>
      </c>
      <c r="D112" s="34"/>
    </row>
    <row r="113" spans="1:4">
      <c r="A113" s="35">
        <v>1814</v>
      </c>
      <c r="B113" s="33" t="s">
        <v>259</v>
      </c>
      <c r="C113" s="188">
        <v>3.27</v>
      </c>
      <c r="D113" s="34"/>
    </row>
    <row r="114" spans="1:4">
      <c r="A114" s="35">
        <v>1815</v>
      </c>
      <c r="B114" s="33" t="s">
        <v>260</v>
      </c>
      <c r="C114" s="188">
        <v>3.27</v>
      </c>
      <c r="D114" s="34"/>
    </row>
    <row r="115" spans="1:4">
      <c r="A115" s="35">
        <v>1816</v>
      </c>
      <c r="B115" s="33" t="s">
        <v>261</v>
      </c>
      <c r="C115" s="188">
        <v>5.46</v>
      </c>
      <c r="D115" s="34"/>
    </row>
    <row r="116" spans="1:4">
      <c r="A116" s="35">
        <v>1817</v>
      </c>
      <c r="B116" s="33" t="s">
        <v>262</v>
      </c>
      <c r="C116" s="188">
        <v>8.85</v>
      </c>
      <c r="D116" s="34"/>
    </row>
    <row r="117" spans="1:4">
      <c r="A117" s="35">
        <v>1818</v>
      </c>
      <c r="B117" s="33" t="s">
        <v>263</v>
      </c>
      <c r="C117" s="188">
        <v>6.79</v>
      </c>
      <c r="D117" s="34"/>
    </row>
    <row r="118" spans="1:4">
      <c r="A118" s="35">
        <v>1834</v>
      </c>
      <c r="B118" s="33" t="s">
        <v>264</v>
      </c>
      <c r="C118" s="188">
        <v>9.94</v>
      </c>
      <c r="D118" s="34"/>
    </row>
    <row r="119" spans="1:4">
      <c r="A119" s="35">
        <v>1840</v>
      </c>
      <c r="B119" s="33" t="s">
        <v>265</v>
      </c>
      <c r="C119" s="188">
        <v>10.31</v>
      </c>
      <c r="D119" s="34"/>
    </row>
    <row r="120" spans="1:4">
      <c r="A120" s="35">
        <v>1841</v>
      </c>
      <c r="B120" s="33" t="s">
        <v>266</v>
      </c>
      <c r="C120" s="188">
        <v>10.31</v>
      </c>
      <c r="D120" s="34"/>
    </row>
    <row r="121" spans="1:4">
      <c r="A121" s="35">
        <v>1850</v>
      </c>
      <c r="B121" s="33" t="s">
        <v>267</v>
      </c>
      <c r="C121" s="188">
        <v>64.03</v>
      </c>
      <c r="D121" s="34"/>
    </row>
    <row r="122" spans="1:4">
      <c r="A122" s="35">
        <v>1855</v>
      </c>
      <c r="B122" s="33" t="s">
        <v>268</v>
      </c>
      <c r="C122" s="188">
        <v>91.92</v>
      </c>
      <c r="D122" s="34"/>
    </row>
    <row r="123" spans="1:4">
      <c r="A123" s="35">
        <v>1860</v>
      </c>
      <c r="B123" s="33" t="s">
        <v>269</v>
      </c>
      <c r="C123" s="188">
        <v>103.32</v>
      </c>
      <c r="D123" s="34"/>
    </row>
    <row r="124" spans="1:4">
      <c r="A124" s="35">
        <v>1870</v>
      </c>
      <c r="B124" s="33" t="s">
        <v>270</v>
      </c>
      <c r="C124" s="188">
        <v>60.51</v>
      </c>
      <c r="D124" s="34"/>
    </row>
    <row r="125" spans="1:4">
      <c r="A125" s="35">
        <v>1871</v>
      </c>
      <c r="B125" s="33" t="s">
        <v>271</v>
      </c>
      <c r="C125" s="188">
        <v>79.31</v>
      </c>
      <c r="D125" s="34"/>
    </row>
    <row r="126" spans="1:4">
      <c r="A126" s="35">
        <v>1901</v>
      </c>
      <c r="B126" s="33" t="s">
        <v>272</v>
      </c>
      <c r="C126" s="188">
        <v>40.020000000000003</v>
      </c>
      <c r="D126" s="34"/>
    </row>
    <row r="127" spans="1:4">
      <c r="A127" s="35">
        <v>1902</v>
      </c>
      <c r="B127" s="33" t="s">
        <v>273</v>
      </c>
      <c r="C127" s="188">
        <v>40.020000000000003</v>
      </c>
      <c r="D127" s="34"/>
    </row>
    <row r="128" spans="1:4">
      <c r="A128" s="35">
        <v>1907</v>
      </c>
      <c r="B128" s="33" t="s">
        <v>274</v>
      </c>
      <c r="C128" s="188">
        <v>46.93</v>
      </c>
      <c r="D128" s="34"/>
    </row>
    <row r="129" spans="1:4">
      <c r="A129" s="35">
        <v>1908</v>
      </c>
      <c r="B129" s="33" t="s">
        <v>275</v>
      </c>
      <c r="C129" s="188">
        <v>65.489999999999995</v>
      </c>
      <c r="D129" s="34"/>
    </row>
    <row r="130" spans="1:4">
      <c r="A130" s="35">
        <v>1909</v>
      </c>
      <c r="B130" s="33" t="s">
        <v>276</v>
      </c>
      <c r="C130" s="188">
        <v>5.34</v>
      </c>
      <c r="D130" s="34"/>
    </row>
    <row r="131" spans="1:4" ht="54">
      <c r="A131" s="35">
        <v>1911</v>
      </c>
      <c r="B131" s="33" t="s">
        <v>277</v>
      </c>
      <c r="C131" s="188">
        <v>92.17</v>
      </c>
      <c r="D131" s="34"/>
    </row>
    <row r="132" spans="1:4">
      <c r="A132" s="35">
        <v>1917</v>
      </c>
      <c r="B132" s="33" t="s">
        <v>278</v>
      </c>
      <c r="C132" s="188">
        <v>166.08</v>
      </c>
      <c r="D132" s="34"/>
    </row>
    <row r="133" spans="1:4">
      <c r="A133" s="35">
        <v>1920</v>
      </c>
      <c r="B133" s="33" t="s">
        <v>187</v>
      </c>
      <c r="C133" s="188">
        <v>115.21</v>
      </c>
      <c r="D133" s="34"/>
    </row>
    <row r="134" spans="1:4">
      <c r="A134" s="35">
        <v>1951</v>
      </c>
      <c r="B134" s="33" t="s">
        <v>188</v>
      </c>
      <c r="C134" s="188">
        <v>27.04</v>
      </c>
      <c r="D134" s="34"/>
    </row>
    <row r="135" spans="1:4">
      <c r="A135" s="35">
        <v>1952</v>
      </c>
      <c r="B135" s="33" t="s">
        <v>189</v>
      </c>
      <c r="C135" s="188">
        <v>27.04</v>
      </c>
      <c r="D135" s="34"/>
    </row>
    <row r="136" spans="1:4">
      <c r="A136" s="35">
        <v>2001</v>
      </c>
      <c r="B136" s="33" t="s">
        <v>190</v>
      </c>
      <c r="C136" s="188"/>
      <c r="D136" s="34"/>
    </row>
    <row r="137" spans="1:4">
      <c r="A137" s="35">
        <v>2002</v>
      </c>
      <c r="B137" s="33" t="s">
        <v>191</v>
      </c>
      <c r="C137" s="188"/>
      <c r="D137" s="34"/>
    </row>
    <row r="138" spans="1:4">
      <c r="A138" s="35">
        <v>2003</v>
      </c>
      <c r="B138" s="33" t="s">
        <v>176</v>
      </c>
      <c r="C138" s="188"/>
      <c r="D138" s="34"/>
    </row>
    <row r="139" spans="1:4">
      <c r="A139" s="35">
        <v>2004</v>
      </c>
      <c r="B139" s="33" t="s">
        <v>192</v>
      </c>
      <c r="C139" s="188"/>
      <c r="D139" s="34"/>
    </row>
    <row r="140" spans="1:4">
      <c r="A140" s="35">
        <v>2005</v>
      </c>
      <c r="B140" s="33" t="s">
        <v>193</v>
      </c>
      <c r="C140" s="188"/>
      <c r="D140" s="34"/>
    </row>
    <row r="141" spans="1:4">
      <c r="A141" s="35">
        <v>2006</v>
      </c>
      <c r="B141" s="33" t="s">
        <v>179</v>
      </c>
      <c r="C141" s="188"/>
      <c r="D141" s="34"/>
    </row>
    <row r="142" spans="1:4">
      <c r="A142" s="35">
        <v>2007</v>
      </c>
      <c r="B142" s="33" t="s">
        <v>194</v>
      </c>
      <c r="C142" s="188"/>
      <c r="D142" s="34"/>
    </row>
    <row r="143" spans="1:4">
      <c r="A143" s="35">
        <v>2008</v>
      </c>
      <c r="B143" s="33" t="s">
        <v>195</v>
      </c>
      <c r="C143" s="188"/>
      <c r="D143" s="34"/>
    </row>
    <row r="144" spans="1:4">
      <c r="A144" s="35">
        <v>2009</v>
      </c>
      <c r="B144" s="33" t="s">
        <v>196</v>
      </c>
      <c r="C144" s="188"/>
      <c r="D144" s="34"/>
    </row>
    <row r="145" spans="1:4">
      <c r="A145" s="35">
        <v>2010</v>
      </c>
      <c r="B145" s="33" t="s">
        <v>197</v>
      </c>
      <c r="C145" s="188"/>
      <c r="D145" s="34"/>
    </row>
    <row r="146" spans="1:4">
      <c r="A146" s="35">
        <v>2011</v>
      </c>
      <c r="B146" s="33" t="s">
        <v>198</v>
      </c>
      <c r="C146" s="188"/>
      <c r="D146" s="34"/>
    </row>
    <row r="147" spans="1:4">
      <c r="A147" s="35">
        <v>2012</v>
      </c>
      <c r="B147" s="33" t="s">
        <v>199</v>
      </c>
      <c r="C147" s="188"/>
      <c r="D147" s="34"/>
    </row>
    <row r="148" spans="1:4">
      <c r="A148" s="35">
        <v>2013</v>
      </c>
      <c r="B148" s="33" t="s">
        <v>200</v>
      </c>
      <c r="C148" s="188"/>
      <c r="D148" s="34"/>
    </row>
    <row r="149" spans="1:4">
      <c r="A149" s="35">
        <v>2015</v>
      </c>
      <c r="B149" s="33" t="s">
        <v>201</v>
      </c>
      <c r="C149" s="188"/>
      <c r="D149" s="34"/>
    </row>
    <row r="150" spans="1:4">
      <c r="A150" s="35">
        <v>2020</v>
      </c>
      <c r="B150" s="33" t="s">
        <v>202</v>
      </c>
      <c r="C150" s="188"/>
      <c r="D150" s="34"/>
    </row>
    <row r="151" spans="1:4">
      <c r="A151" s="35">
        <v>2101</v>
      </c>
      <c r="B151" s="33" t="s">
        <v>203</v>
      </c>
      <c r="C151" s="188"/>
      <c r="D151" s="34"/>
    </row>
    <row r="152" spans="1:4">
      <c r="A152" s="35">
        <v>2102</v>
      </c>
      <c r="B152" s="33" t="s">
        <v>204</v>
      </c>
      <c r="C152" s="188"/>
      <c r="D152" s="34"/>
    </row>
    <row r="153" spans="1:4">
      <c r="A153" s="35">
        <v>2103</v>
      </c>
      <c r="B153" s="33" t="s">
        <v>205</v>
      </c>
      <c r="C153" s="188"/>
      <c r="D153" s="34"/>
    </row>
    <row r="154" spans="1:4">
      <c r="A154" s="35">
        <v>2104</v>
      </c>
      <c r="B154" s="33" t="s">
        <v>206</v>
      </c>
      <c r="C154" s="188"/>
      <c r="D154" s="34"/>
    </row>
    <row r="155" spans="1:4">
      <c r="A155" s="35">
        <v>2105</v>
      </c>
      <c r="B155" s="33" t="s">
        <v>207</v>
      </c>
      <c r="C155" s="188"/>
      <c r="D155" s="34"/>
    </row>
    <row r="156" spans="1:4">
      <c r="A156" s="35">
        <v>2106</v>
      </c>
      <c r="B156" s="33" t="s">
        <v>208</v>
      </c>
      <c r="C156" s="188"/>
      <c r="D156" s="34"/>
    </row>
    <row r="157" spans="1:4">
      <c r="A157" s="35">
        <v>2107</v>
      </c>
      <c r="B157" s="33" t="s">
        <v>209</v>
      </c>
      <c r="C157" s="188"/>
      <c r="D157" s="34"/>
    </row>
    <row r="158" spans="1:4">
      <c r="A158" s="35">
        <v>2108</v>
      </c>
      <c r="B158" s="33" t="s">
        <v>210</v>
      </c>
      <c r="C158" s="188"/>
      <c r="D158" s="34"/>
    </row>
    <row r="159" spans="1:4">
      <c r="A159" s="35">
        <v>2201</v>
      </c>
      <c r="B159" s="33" t="s">
        <v>295</v>
      </c>
      <c r="C159" s="188"/>
      <c r="D159" s="34"/>
    </row>
    <row r="160" spans="1:4">
      <c r="A160" s="35">
        <v>2202</v>
      </c>
      <c r="B160" s="33" t="s">
        <v>296</v>
      </c>
      <c r="C160" s="188"/>
      <c r="D160" s="34"/>
    </row>
    <row r="161" spans="1:4">
      <c r="A161" s="35">
        <v>2203</v>
      </c>
      <c r="B161" s="33" t="s">
        <v>297</v>
      </c>
      <c r="C161" s="188"/>
      <c r="D161" s="34"/>
    </row>
    <row r="162" spans="1:4">
      <c r="A162" s="35">
        <v>2204</v>
      </c>
      <c r="B162" s="33" t="s">
        <v>298</v>
      </c>
      <c r="C162" s="188"/>
      <c r="D162" s="34"/>
    </row>
    <row r="163" spans="1:4">
      <c r="A163" s="35">
        <v>2205</v>
      </c>
      <c r="B163" s="33" t="s">
        <v>299</v>
      </c>
      <c r="C163" s="188"/>
      <c r="D163" s="34"/>
    </row>
    <row r="164" spans="1:4">
      <c r="A164" s="35">
        <v>2206</v>
      </c>
      <c r="B164" s="33" t="s">
        <v>300</v>
      </c>
      <c r="C164" s="188"/>
      <c r="D164" s="34"/>
    </row>
    <row r="165" spans="1:4">
      <c r="A165" s="35">
        <v>2207</v>
      </c>
      <c r="B165" s="33" t="s">
        <v>301</v>
      </c>
      <c r="C165" s="188"/>
      <c r="D165" s="34"/>
    </row>
    <row r="166" spans="1:4">
      <c r="A166" s="35">
        <v>2208</v>
      </c>
      <c r="B166" s="33" t="s">
        <v>302</v>
      </c>
      <c r="C166" s="188"/>
      <c r="D166" s="34"/>
    </row>
    <row r="167" spans="1:4">
      <c r="A167" s="35">
        <v>2209</v>
      </c>
      <c r="B167" s="33" t="s">
        <v>303</v>
      </c>
      <c r="C167" s="188"/>
      <c r="D167" s="34"/>
    </row>
    <row r="168" spans="1:4">
      <c r="A168" s="35">
        <v>2214</v>
      </c>
      <c r="B168" s="33" t="s">
        <v>304</v>
      </c>
      <c r="C168" s="188"/>
      <c r="D168" s="34"/>
    </row>
    <row r="169" spans="1:4">
      <c r="A169" s="35">
        <v>2301</v>
      </c>
      <c r="B169" s="33" t="s">
        <v>305</v>
      </c>
      <c r="C169" s="188"/>
      <c r="D169" s="34"/>
    </row>
    <row r="170" spans="1:4">
      <c r="A170" s="35">
        <v>2302</v>
      </c>
      <c r="B170" s="33" t="s">
        <v>306</v>
      </c>
      <c r="C170" s="188"/>
      <c r="D170" s="34"/>
    </row>
    <row r="171" spans="1:4">
      <c r="A171" s="35">
        <v>2303</v>
      </c>
      <c r="B171" s="33" t="s">
        <v>307</v>
      </c>
      <c r="C171" s="188"/>
      <c r="D171" s="34"/>
    </row>
    <row r="172" spans="1:4">
      <c r="A172" s="35">
        <v>2304</v>
      </c>
      <c r="B172" s="33" t="s">
        <v>308</v>
      </c>
      <c r="C172" s="188"/>
      <c r="D172" s="34"/>
    </row>
    <row r="173" spans="1:4">
      <c r="A173" s="35">
        <v>2305</v>
      </c>
      <c r="B173" s="33" t="s">
        <v>309</v>
      </c>
      <c r="C173" s="188"/>
      <c r="D173" s="34"/>
    </row>
    <row r="174" spans="1:4">
      <c r="A174" s="35">
        <v>2306</v>
      </c>
      <c r="B174" s="33" t="s">
        <v>310</v>
      </c>
      <c r="C174" s="188"/>
      <c r="D174" s="34"/>
    </row>
    <row r="175" spans="1:4">
      <c r="A175" s="35">
        <v>2307</v>
      </c>
      <c r="B175" s="33" t="s">
        <v>311</v>
      </c>
      <c r="C175" s="188"/>
      <c r="D175" s="34"/>
    </row>
    <row r="176" spans="1:4">
      <c r="A176" s="35">
        <v>2308</v>
      </c>
      <c r="B176" s="33" t="s">
        <v>312</v>
      </c>
      <c r="C176" s="188"/>
      <c r="D176" s="34"/>
    </row>
    <row r="177" spans="1:4">
      <c r="A177" s="35">
        <v>2309</v>
      </c>
      <c r="B177" s="33" t="s">
        <v>313</v>
      </c>
      <c r="C177" s="188"/>
      <c r="D177" s="34"/>
    </row>
    <row r="178" spans="1:4">
      <c r="A178" s="35">
        <v>2310</v>
      </c>
      <c r="B178" s="33" t="s">
        <v>314</v>
      </c>
      <c r="C178" s="188"/>
      <c r="D178" s="34"/>
    </row>
    <row r="179" spans="1:4">
      <c r="A179" s="35">
        <v>2311</v>
      </c>
      <c r="B179" s="33" t="s">
        <v>315</v>
      </c>
      <c r="C179" s="188"/>
      <c r="D179" s="34"/>
    </row>
    <row r="180" spans="1:4">
      <c r="A180" s="35">
        <v>2312</v>
      </c>
      <c r="B180" s="33" t="s">
        <v>316</v>
      </c>
      <c r="C180" s="188"/>
      <c r="D180" s="34"/>
    </row>
    <row r="181" spans="1:4">
      <c r="A181" s="35">
        <v>2313</v>
      </c>
      <c r="B181" s="33" t="s">
        <v>317</v>
      </c>
      <c r="C181" s="188"/>
      <c r="D181" s="34"/>
    </row>
    <row r="182" spans="1:4">
      <c r="A182" s="35">
        <v>2314</v>
      </c>
      <c r="B182" s="33" t="s">
        <v>318</v>
      </c>
      <c r="C182" s="188"/>
      <c r="D182" s="34"/>
    </row>
    <row r="183" spans="1:4">
      <c r="A183" s="35">
        <v>2315</v>
      </c>
      <c r="B183" s="33" t="s">
        <v>319</v>
      </c>
      <c r="C183" s="188"/>
      <c r="D183" s="34"/>
    </row>
    <row r="184" spans="1:4">
      <c r="A184" s="35">
        <v>2316</v>
      </c>
      <c r="B184" s="33" t="s">
        <v>320</v>
      </c>
      <c r="C184" s="188"/>
      <c r="D184" s="34"/>
    </row>
    <row r="185" spans="1:4">
      <c r="A185" s="35">
        <v>2501</v>
      </c>
      <c r="B185" s="33" t="s">
        <v>321</v>
      </c>
      <c r="C185" s="188"/>
      <c r="D185" s="34"/>
    </row>
    <row r="186" spans="1:4">
      <c r="A186" s="35">
        <v>2502</v>
      </c>
      <c r="B186" s="33" t="s">
        <v>322</v>
      </c>
      <c r="C186" s="188"/>
      <c r="D186" s="34"/>
    </row>
    <row r="187" spans="1:4">
      <c r="A187" s="35">
        <v>2503</v>
      </c>
      <c r="B187" s="33" t="s">
        <v>323</v>
      </c>
      <c r="C187" s="188"/>
      <c r="D187" s="34"/>
    </row>
    <row r="188" spans="1:4">
      <c r="A188" s="35">
        <v>2504</v>
      </c>
      <c r="B188" s="33" t="s">
        <v>324</v>
      </c>
      <c r="C188" s="188"/>
      <c r="D188" s="34"/>
    </row>
    <row r="189" spans="1:4">
      <c r="A189" s="35">
        <v>2505</v>
      </c>
      <c r="B189" s="33" t="s">
        <v>325</v>
      </c>
      <c r="C189" s="188"/>
      <c r="D189" s="34"/>
    </row>
    <row r="190" spans="1:4">
      <c r="A190" s="35">
        <v>2506</v>
      </c>
      <c r="B190" s="33" t="s">
        <v>326</v>
      </c>
      <c r="C190" s="188"/>
      <c r="D190" s="34"/>
    </row>
    <row r="191" spans="1:4">
      <c r="A191" s="35">
        <v>2601</v>
      </c>
      <c r="B191" s="33" t="s">
        <v>327</v>
      </c>
      <c r="C191" s="188"/>
      <c r="D191" s="34"/>
    </row>
    <row r="192" spans="1:4">
      <c r="A192" s="35">
        <v>2602</v>
      </c>
      <c r="B192" s="33" t="s">
        <v>328</v>
      </c>
      <c r="C192" s="188"/>
      <c r="D192" s="34"/>
    </row>
    <row r="193" spans="1:4">
      <c r="A193" s="35">
        <v>2603</v>
      </c>
      <c r="B193" s="33" t="s">
        <v>329</v>
      </c>
      <c r="C193" s="188"/>
      <c r="D193" s="34"/>
    </row>
    <row r="194" spans="1:4">
      <c r="A194" s="35">
        <v>2604</v>
      </c>
      <c r="B194" s="33" t="s">
        <v>330</v>
      </c>
      <c r="C194" s="188"/>
      <c r="D194" s="34"/>
    </row>
    <row r="195" spans="1:4">
      <c r="A195" s="35">
        <v>2605</v>
      </c>
      <c r="B195" s="33" t="s">
        <v>331</v>
      </c>
      <c r="C195" s="188"/>
      <c r="D195" s="34"/>
    </row>
    <row r="196" spans="1:4">
      <c r="A196" s="35">
        <v>2606</v>
      </c>
      <c r="B196" s="33" t="s">
        <v>332</v>
      </c>
      <c r="C196" s="188"/>
      <c r="D196" s="34"/>
    </row>
    <row r="197" spans="1:4">
      <c r="A197" s="35">
        <v>2607</v>
      </c>
      <c r="B197" s="33" t="s">
        <v>333</v>
      </c>
      <c r="C197" s="188"/>
      <c r="D197" s="34"/>
    </row>
    <row r="198" spans="1:4">
      <c r="A198" s="35">
        <v>2608</v>
      </c>
      <c r="B198" s="33" t="s">
        <v>232</v>
      </c>
      <c r="C198" s="188"/>
      <c r="D198" s="34"/>
    </row>
    <row r="199" spans="1:4">
      <c r="A199" s="35">
        <v>2609</v>
      </c>
      <c r="B199" s="33" t="s">
        <v>233</v>
      </c>
      <c r="C199" s="188"/>
      <c r="D199" s="34"/>
    </row>
    <row r="200" spans="1:4">
      <c r="A200" s="35">
        <v>2612</v>
      </c>
      <c r="B200" s="33" t="s">
        <v>234</v>
      </c>
      <c r="C200" s="188"/>
      <c r="D200" s="34"/>
    </row>
    <row r="201" spans="1:4">
      <c r="A201" s="35">
        <v>2613</v>
      </c>
      <c r="B201" s="33" t="s">
        <v>235</v>
      </c>
      <c r="C201" s="188"/>
      <c r="D201" s="34"/>
    </row>
    <row r="202" spans="1:4">
      <c r="A202" s="35">
        <v>2701</v>
      </c>
      <c r="B202" s="33" t="s">
        <v>236</v>
      </c>
      <c r="C202" s="188"/>
      <c r="D202" s="34"/>
    </row>
    <row r="203" spans="1:4">
      <c r="A203" s="35">
        <v>2710</v>
      </c>
      <c r="B203" s="33" t="s">
        <v>237</v>
      </c>
      <c r="C203" s="188"/>
      <c r="D203" s="34"/>
    </row>
    <row r="204" spans="1:4">
      <c r="A204" s="35">
        <v>2711</v>
      </c>
      <c r="B204" s="33" t="s">
        <v>238</v>
      </c>
      <c r="C204" s="188"/>
      <c r="D204" s="34"/>
    </row>
    <row r="205" spans="1:4">
      <c r="A205" s="35">
        <v>2712</v>
      </c>
      <c r="B205" s="33" t="s">
        <v>239</v>
      </c>
      <c r="C205" s="188"/>
      <c r="D205" s="34"/>
    </row>
    <row r="206" spans="1:4">
      <c r="A206" s="35">
        <v>2713</v>
      </c>
      <c r="B206" s="33" t="s">
        <v>240</v>
      </c>
      <c r="C206" s="188"/>
      <c r="D206" s="34"/>
    </row>
    <row r="207" spans="1:4">
      <c r="A207" s="35">
        <v>2714</v>
      </c>
      <c r="B207" s="33" t="s">
        <v>241</v>
      </c>
      <c r="C207" s="188"/>
      <c r="D207" s="34"/>
    </row>
    <row r="208" spans="1:4">
      <c r="A208" s="35">
        <v>2801</v>
      </c>
      <c r="B208" s="33" t="s">
        <v>242</v>
      </c>
      <c r="C208" s="188"/>
      <c r="D208" s="34"/>
    </row>
    <row r="209" spans="1:4">
      <c r="A209" s="35">
        <v>2802</v>
      </c>
      <c r="B209" s="33" t="s">
        <v>243</v>
      </c>
      <c r="C209" s="188"/>
      <c r="D209" s="34"/>
    </row>
    <row r="210" spans="1:4">
      <c r="A210" s="35">
        <v>2803</v>
      </c>
      <c r="B210" s="33" t="s">
        <v>244</v>
      </c>
      <c r="C210" s="188"/>
      <c r="D210" s="34"/>
    </row>
    <row r="211" spans="1:4">
      <c r="A211" s="35">
        <v>2811</v>
      </c>
      <c r="B211" s="33" t="s">
        <v>245</v>
      </c>
      <c r="C211" s="188"/>
      <c r="D211" s="34"/>
    </row>
    <row r="212" spans="1:4">
      <c r="A212" s="35">
        <v>2812</v>
      </c>
      <c r="B212" s="33" t="s">
        <v>246</v>
      </c>
      <c r="C212" s="188"/>
      <c r="D212" s="34"/>
    </row>
    <row r="213" spans="1:4">
      <c r="A213" s="35">
        <v>2813</v>
      </c>
      <c r="B213" s="33" t="s">
        <v>247</v>
      </c>
      <c r="C213" s="188"/>
      <c r="D213" s="34"/>
    </row>
    <row r="214" spans="1:4">
      <c r="A214" s="35">
        <v>2814</v>
      </c>
      <c r="B214" s="33" t="s">
        <v>248</v>
      </c>
      <c r="C214" s="188"/>
      <c r="D214" s="34"/>
    </row>
    <row r="215" spans="1:4">
      <c r="A215" s="35">
        <v>2815</v>
      </c>
      <c r="B215" s="33" t="s">
        <v>249</v>
      </c>
      <c r="C215" s="188"/>
      <c r="D215" s="34"/>
    </row>
    <row r="216" spans="1:4">
      <c r="A216" s="35">
        <v>2816</v>
      </c>
      <c r="B216" s="33" t="s">
        <v>250</v>
      </c>
      <c r="C216" s="188"/>
      <c r="D216" s="34"/>
    </row>
    <row r="217" spans="1:4">
      <c r="A217" s="35">
        <v>2817</v>
      </c>
      <c r="B217" s="33" t="s">
        <v>251</v>
      </c>
      <c r="C217" s="188"/>
      <c r="D217" s="34"/>
    </row>
    <row r="218" spans="1:4">
      <c r="A218" s="35">
        <v>2901</v>
      </c>
      <c r="B218" s="33" t="s">
        <v>252</v>
      </c>
      <c r="C218" s="188"/>
      <c r="D218" s="34"/>
    </row>
    <row r="219" spans="1:4">
      <c r="A219" s="35">
        <v>2902</v>
      </c>
      <c r="B219" s="33" t="s">
        <v>352</v>
      </c>
      <c r="C219" s="188"/>
      <c r="D219" s="34"/>
    </row>
    <row r="220" spans="1:4">
      <c r="A220" s="35">
        <v>2903</v>
      </c>
      <c r="B220" s="33" t="s">
        <v>353</v>
      </c>
      <c r="C220" s="188"/>
      <c r="D220" s="34"/>
    </row>
    <row r="221" spans="1:4" ht="36">
      <c r="A221" s="35">
        <v>3001</v>
      </c>
      <c r="B221" s="33" t="s">
        <v>354</v>
      </c>
      <c r="C221" s="188">
        <v>6.18</v>
      </c>
      <c r="D221" s="34"/>
    </row>
    <row r="222" spans="1:4">
      <c r="A222" s="35">
        <v>3002</v>
      </c>
      <c r="B222" s="33" t="s">
        <v>355</v>
      </c>
      <c r="C222" s="188">
        <v>7.28</v>
      </c>
      <c r="D222" s="34"/>
    </row>
    <row r="223" spans="1:4" ht="36">
      <c r="A223" s="35">
        <v>3003</v>
      </c>
      <c r="B223" s="33" t="s">
        <v>356</v>
      </c>
      <c r="C223" s="188">
        <v>11.04</v>
      </c>
      <c r="D223" s="34"/>
    </row>
    <row r="224" spans="1:4">
      <c r="A224" s="35">
        <v>3004</v>
      </c>
      <c r="B224" s="33" t="s">
        <v>193</v>
      </c>
      <c r="C224" s="188">
        <v>6.18</v>
      </c>
      <c r="D224" s="34"/>
    </row>
    <row r="225" spans="1:4">
      <c r="A225" s="35">
        <v>3005</v>
      </c>
      <c r="B225" s="33" t="s">
        <v>357</v>
      </c>
      <c r="C225" s="188">
        <v>6.18</v>
      </c>
      <c r="D225" s="34"/>
    </row>
    <row r="226" spans="1:4">
      <c r="A226" s="35">
        <v>3022</v>
      </c>
      <c r="B226" s="33" t="s">
        <v>180</v>
      </c>
      <c r="C226" s="188">
        <v>21.95</v>
      </c>
      <c r="D226" s="34"/>
    </row>
    <row r="227" spans="1:4">
      <c r="A227" s="35">
        <v>3023</v>
      </c>
      <c r="B227" s="33" t="s">
        <v>181</v>
      </c>
      <c r="C227" s="188">
        <v>36.5</v>
      </c>
      <c r="D227" s="34"/>
    </row>
    <row r="228" spans="1:4">
      <c r="A228" s="35">
        <v>3052</v>
      </c>
      <c r="B228" s="33" t="s">
        <v>358</v>
      </c>
      <c r="C228" s="188">
        <v>11.04</v>
      </c>
      <c r="D228" s="34"/>
    </row>
    <row r="229" spans="1:4">
      <c r="A229" s="35">
        <v>3053</v>
      </c>
      <c r="B229" s="33" t="s">
        <v>359</v>
      </c>
      <c r="C229" s="188">
        <v>14.55</v>
      </c>
      <c r="D229" s="34"/>
    </row>
    <row r="230" spans="1:4">
      <c r="A230" s="35">
        <v>3054</v>
      </c>
      <c r="B230" s="33" t="s">
        <v>360</v>
      </c>
      <c r="C230" s="188">
        <v>21.95</v>
      </c>
      <c r="D230" s="34"/>
    </row>
    <row r="231" spans="1:4">
      <c r="A231" s="35">
        <v>3061</v>
      </c>
      <c r="B231" s="33" t="s">
        <v>361</v>
      </c>
      <c r="C231" s="188">
        <v>28.98</v>
      </c>
      <c r="D231" s="34"/>
    </row>
    <row r="232" spans="1:4">
      <c r="A232" s="35">
        <v>3062</v>
      </c>
      <c r="B232" s="33" t="s">
        <v>186</v>
      </c>
      <c r="C232" s="188">
        <v>14.55</v>
      </c>
      <c r="D232" s="34"/>
    </row>
    <row r="233" spans="1:4">
      <c r="A233" s="35">
        <v>3201</v>
      </c>
      <c r="B233" s="33" t="s">
        <v>362</v>
      </c>
      <c r="C233" s="188">
        <v>260.73</v>
      </c>
      <c r="D233" s="34"/>
    </row>
    <row r="234" spans="1:4">
      <c r="A234" s="35">
        <v>3202</v>
      </c>
      <c r="B234" s="33" t="s">
        <v>363</v>
      </c>
      <c r="C234" s="188">
        <v>289.83999999999997</v>
      </c>
      <c r="D234" s="34"/>
    </row>
    <row r="235" spans="1:4">
      <c r="A235" s="35">
        <v>3203</v>
      </c>
      <c r="B235" s="33" t="s">
        <v>364</v>
      </c>
      <c r="C235" s="188">
        <v>239.51</v>
      </c>
      <c r="D235" s="34"/>
    </row>
    <row r="236" spans="1:4">
      <c r="A236" s="35">
        <v>3204</v>
      </c>
      <c r="B236" s="33" t="s">
        <v>365</v>
      </c>
      <c r="C236" s="188">
        <v>253.46</v>
      </c>
      <c r="D236" s="34"/>
    </row>
    <row r="237" spans="1:4">
      <c r="A237" s="35">
        <v>3207</v>
      </c>
      <c r="B237" s="33" t="s">
        <v>366</v>
      </c>
      <c r="C237" s="188">
        <v>189.18</v>
      </c>
      <c r="D237" s="34"/>
    </row>
    <row r="238" spans="1:4">
      <c r="A238" s="35">
        <v>3221</v>
      </c>
      <c r="B238" s="33" t="s">
        <v>367</v>
      </c>
      <c r="C238" s="188">
        <v>13.95</v>
      </c>
      <c r="D238" s="34"/>
    </row>
    <row r="239" spans="1:4">
      <c r="A239" s="35">
        <v>3222</v>
      </c>
      <c r="B239" s="33" t="s">
        <v>368</v>
      </c>
      <c r="C239" s="188">
        <v>21.22</v>
      </c>
      <c r="D239" s="34"/>
    </row>
    <row r="240" spans="1:4">
      <c r="A240" s="35">
        <v>3223</v>
      </c>
      <c r="B240" s="33" t="s">
        <v>369</v>
      </c>
      <c r="C240" s="188">
        <v>28.5</v>
      </c>
      <c r="D240" s="34"/>
    </row>
    <row r="241" spans="1:4" ht="36">
      <c r="A241" s="35">
        <v>3241</v>
      </c>
      <c r="B241" s="33" t="s">
        <v>279</v>
      </c>
      <c r="C241" s="188">
        <v>14.55</v>
      </c>
      <c r="D241" s="34"/>
    </row>
    <row r="242" spans="1:4">
      <c r="A242" s="35">
        <v>3401</v>
      </c>
      <c r="B242" s="33" t="s">
        <v>280</v>
      </c>
      <c r="C242" s="188">
        <v>57.36</v>
      </c>
      <c r="D242" s="34"/>
    </row>
    <row r="243" spans="1:4" ht="36">
      <c r="A243" s="35">
        <v>3402</v>
      </c>
      <c r="B243" s="33" t="s">
        <v>281</v>
      </c>
      <c r="C243" s="188">
        <v>39.049999999999997</v>
      </c>
      <c r="D243" s="34"/>
    </row>
    <row r="244" spans="1:4">
      <c r="A244" s="35">
        <v>3701</v>
      </c>
      <c r="B244" s="33" t="s">
        <v>282</v>
      </c>
      <c r="C244" s="188">
        <v>60.88</v>
      </c>
      <c r="D244" s="34"/>
    </row>
    <row r="245" spans="1:4">
      <c r="A245" s="35">
        <v>3702</v>
      </c>
      <c r="B245" s="33" t="s">
        <v>283</v>
      </c>
      <c r="C245" s="188">
        <v>28.62</v>
      </c>
      <c r="D245" s="34"/>
    </row>
    <row r="246" spans="1:4">
      <c r="A246" s="35">
        <v>3703</v>
      </c>
      <c r="B246" s="33" t="s">
        <v>284</v>
      </c>
      <c r="C246" s="188">
        <v>28.62</v>
      </c>
      <c r="D246" s="34"/>
    </row>
    <row r="247" spans="1:4">
      <c r="A247" s="35">
        <v>3704</v>
      </c>
      <c r="B247" s="33" t="s">
        <v>285</v>
      </c>
      <c r="C247" s="188">
        <v>14.55</v>
      </c>
      <c r="D247" s="34"/>
    </row>
    <row r="248" spans="1:4">
      <c r="A248" s="35">
        <v>3711</v>
      </c>
      <c r="B248" s="33" t="s">
        <v>286</v>
      </c>
      <c r="C248" s="188">
        <v>28.62</v>
      </c>
      <c r="D248" s="34"/>
    </row>
    <row r="249" spans="1:4">
      <c r="A249" s="35">
        <v>3810</v>
      </c>
      <c r="B249" s="33" t="s">
        <v>236</v>
      </c>
      <c r="C249" s="188">
        <v>21.95</v>
      </c>
      <c r="D249" s="34"/>
    </row>
    <row r="250" spans="1:4">
      <c r="A250" s="35">
        <v>3820</v>
      </c>
      <c r="B250" s="33" t="s">
        <v>287</v>
      </c>
      <c r="C250" s="188">
        <v>23.53</v>
      </c>
      <c r="D250" s="34"/>
    </row>
    <row r="251" spans="1:4">
      <c r="A251" s="35">
        <v>3821</v>
      </c>
      <c r="B251" s="33" t="s">
        <v>288</v>
      </c>
      <c r="C251" s="188">
        <v>14.55</v>
      </c>
      <c r="D251" s="34"/>
    </row>
    <row r="252" spans="1:4">
      <c r="A252" s="35">
        <v>3822</v>
      </c>
      <c r="B252" s="33" t="s">
        <v>289</v>
      </c>
      <c r="C252" s="188">
        <v>27.53</v>
      </c>
      <c r="D252" s="34"/>
    </row>
    <row r="253" spans="1:4">
      <c r="A253" s="35">
        <v>3823</v>
      </c>
      <c r="B253" s="33" t="s">
        <v>290</v>
      </c>
      <c r="C253" s="188">
        <v>18.43</v>
      </c>
      <c r="D253" s="34"/>
    </row>
    <row r="254" spans="1:4">
      <c r="A254" s="35">
        <v>3826</v>
      </c>
      <c r="B254" s="33" t="s">
        <v>291</v>
      </c>
      <c r="C254" s="188">
        <v>30.08</v>
      </c>
      <c r="D254" s="34"/>
    </row>
    <row r="255" spans="1:4">
      <c r="A255" s="35">
        <v>3951</v>
      </c>
      <c r="B255" s="33" t="s">
        <v>292</v>
      </c>
      <c r="C255" s="188">
        <v>27.04</v>
      </c>
      <c r="D255" s="34"/>
    </row>
    <row r="256" spans="1:4">
      <c r="A256" s="35">
        <v>3952</v>
      </c>
      <c r="B256" s="33" t="s">
        <v>293</v>
      </c>
      <c r="C256" s="188">
        <v>36.26</v>
      </c>
      <c r="D256" s="34"/>
    </row>
    <row r="257" spans="1:4">
      <c r="A257" s="35">
        <v>3953</v>
      </c>
      <c r="B257" s="37" t="s">
        <v>294</v>
      </c>
      <c r="C257" s="188">
        <v>27.04</v>
      </c>
      <c r="D257" s="34"/>
    </row>
    <row r="258" spans="1:4" ht="36">
      <c r="A258" s="35">
        <v>4001</v>
      </c>
      <c r="B258" s="33" t="s">
        <v>383</v>
      </c>
      <c r="C258" s="188"/>
      <c r="D258" s="34"/>
    </row>
    <row r="259" spans="1:4">
      <c r="A259" s="35">
        <v>4002</v>
      </c>
      <c r="B259" s="33" t="s">
        <v>384</v>
      </c>
      <c r="C259" s="188"/>
      <c r="D259" s="34"/>
    </row>
    <row r="260" spans="1:4" ht="36">
      <c r="A260" s="35">
        <v>4003</v>
      </c>
      <c r="B260" s="33" t="s">
        <v>385</v>
      </c>
      <c r="C260" s="188"/>
      <c r="D260" s="34"/>
    </row>
    <row r="261" spans="1:4">
      <c r="A261" s="35">
        <v>4004</v>
      </c>
      <c r="B261" s="33" t="s">
        <v>193</v>
      </c>
      <c r="C261" s="188"/>
      <c r="D261" s="34"/>
    </row>
    <row r="262" spans="1:4">
      <c r="A262" s="35">
        <v>4005</v>
      </c>
      <c r="B262" s="33" t="s">
        <v>357</v>
      </c>
      <c r="C262" s="188"/>
      <c r="D262" s="34"/>
    </row>
    <row r="263" spans="1:4">
      <c r="A263" s="35">
        <v>4022</v>
      </c>
      <c r="B263" s="33" t="s">
        <v>180</v>
      </c>
      <c r="C263" s="188"/>
      <c r="D263" s="34"/>
    </row>
    <row r="264" spans="1:4">
      <c r="A264" s="35">
        <v>4023</v>
      </c>
      <c r="B264" s="33" t="s">
        <v>181</v>
      </c>
      <c r="C264" s="188"/>
      <c r="D264" s="34"/>
    </row>
    <row r="265" spans="1:4">
      <c r="A265" s="35">
        <v>4052</v>
      </c>
      <c r="B265" s="33" t="s">
        <v>358</v>
      </c>
      <c r="C265" s="188"/>
      <c r="D265" s="34"/>
    </row>
    <row r="266" spans="1:4">
      <c r="A266" s="35">
        <v>4053</v>
      </c>
      <c r="B266" s="33" t="s">
        <v>359</v>
      </c>
      <c r="C266" s="188"/>
      <c r="D266" s="34"/>
    </row>
    <row r="267" spans="1:4">
      <c r="A267" s="35">
        <v>4054</v>
      </c>
      <c r="B267" s="33" t="s">
        <v>360</v>
      </c>
      <c r="C267" s="188"/>
      <c r="D267" s="34"/>
    </row>
    <row r="268" spans="1:4">
      <c r="A268" s="35">
        <v>4061</v>
      </c>
      <c r="B268" s="33" t="s">
        <v>361</v>
      </c>
      <c r="C268" s="188"/>
      <c r="D268" s="34"/>
    </row>
    <row r="269" spans="1:4">
      <c r="A269" s="35">
        <v>4062</v>
      </c>
      <c r="B269" s="33" t="s">
        <v>186</v>
      </c>
      <c r="C269" s="188"/>
      <c r="D269" s="34"/>
    </row>
    <row r="270" spans="1:4">
      <c r="A270" s="35">
        <v>4101</v>
      </c>
      <c r="B270" s="33" t="s">
        <v>386</v>
      </c>
      <c r="C270" s="188"/>
      <c r="D270" s="34"/>
    </row>
    <row r="271" spans="1:4">
      <c r="A271" s="35">
        <v>4102</v>
      </c>
      <c r="B271" s="33" t="s">
        <v>387</v>
      </c>
      <c r="C271" s="188"/>
      <c r="D271" s="34"/>
    </row>
    <row r="272" spans="1:4">
      <c r="A272" s="35">
        <v>4103</v>
      </c>
      <c r="B272" s="33" t="s">
        <v>388</v>
      </c>
      <c r="C272" s="188"/>
      <c r="D272" s="34"/>
    </row>
    <row r="273" spans="1:4">
      <c r="A273" s="35">
        <v>4115</v>
      </c>
      <c r="B273" s="33" t="s">
        <v>389</v>
      </c>
      <c r="C273" s="188"/>
      <c r="D273" s="34"/>
    </row>
    <row r="274" spans="1:4">
      <c r="A274" s="35">
        <v>4154</v>
      </c>
      <c r="B274" s="33" t="s">
        <v>390</v>
      </c>
      <c r="C274" s="188"/>
      <c r="D274" s="34"/>
    </row>
    <row r="275" spans="1:4">
      <c r="A275" s="35">
        <v>4162</v>
      </c>
      <c r="B275" s="33" t="s">
        <v>391</v>
      </c>
      <c r="C275" s="188"/>
      <c r="D275" s="34"/>
    </row>
    <row r="276" spans="1:4">
      <c r="A276" s="35">
        <v>4166</v>
      </c>
      <c r="B276" s="33" t="s">
        <v>392</v>
      </c>
      <c r="C276" s="188"/>
      <c r="D276" s="34"/>
    </row>
    <row r="277" spans="1:4">
      <c r="A277" s="35">
        <v>4201</v>
      </c>
      <c r="B277" s="33" t="s">
        <v>393</v>
      </c>
      <c r="C277" s="188"/>
      <c r="D277" s="34"/>
    </row>
    <row r="278" spans="1:4">
      <c r="A278" s="35">
        <v>4202</v>
      </c>
      <c r="B278" s="33" t="s">
        <v>394</v>
      </c>
      <c r="C278" s="188"/>
      <c r="D278" s="34"/>
    </row>
    <row r="279" spans="1:4">
      <c r="A279" s="35">
        <v>4204</v>
      </c>
      <c r="B279" s="33" t="s">
        <v>395</v>
      </c>
      <c r="C279" s="188"/>
      <c r="D279" s="34"/>
    </row>
    <row r="280" spans="1:4">
      <c r="A280" s="35">
        <v>4210</v>
      </c>
      <c r="B280" s="33" t="s">
        <v>396</v>
      </c>
      <c r="C280" s="188"/>
      <c r="D280" s="34"/>
    </row>
    <row r="281" spans="1:4">
      <c r="A281" s="35">
        <v>4212</v>
      </c>
      <c r="B281" s="33" t="s">
        <v>397</v>
      </c>
      <c r="C281" s="188"/>
      <c r="D281" s="34"/>
    </row>
    <row r="282" spans="1:4">
      <c r="A282" s="35">
        <v>4218</v>
      </c>
      <c r="B282" s="33" t="s">
        <v>398</v>
      </c>
      <c r="C282" s="188"/>
      <c r="D282" s="34"/>
    </row>
    <row r="283" spans="1:4">
      <c r="A283" s="35">
        <v>4225</v>
      </c>
      <c r="B283" s="33" t="s">
        <v>399</v>
      </c>
      <c r="C283" s="188"/>
      <c r="D283" s="34"/>
    </row>
    <row r="284" spans="1:4">
      <c r="A284" s="35">
        <v>4251</v>
      </c>
      <c r="B284" s="33" t="s">
        <v>400</v>
      </c>
      <c r="C284" s="188"/>
      <c r="D284" s="34"/>
    </row>
    <row r="285" spans="1:4">
      <c r="A285" s="35">
        <v>4252</v>
      </c>
      <c r="B285" s="33" t="s">
        <v>401</v>
      </c>
      <c r="C285" s="188"/>
      <c r="D285" s="34"/>
    </row>
    <row r="286" spans="1:4">
      <c r="A286" s="35">
        <v>4253</v>
      </c>
      <c r="B286" s="33" t="s">
        <v>402</v>
      </c>
      <c r="C286" s="188"/>
      <c r="D286" s="34"/>
    </row>
    <row r="287" spans="1:4">
      <c r="A287" s="35">
        <v>4257</v>
      </c>
      <c r="B287" s="33" t="s">
        <v>403</v>
      </c>
      <c r="C287" s="188"/>
      <c r="D287" s="34"/>
    </row>
    <row r="288" spans="1:4">
      <c r="A288" s="35">
        <v>4259</v>
      </c>
      <c r="B288" s="33" t="s">
        <v>404</v>
      </c>
      <c r="C288" s="188"/>
      <c r="D288" s="34"/>
    </row>
    <row r="289" spans="1:4">
      <c r="A289" s="35">
        <v>4260</v>
      </c>
      <c r="B289" s="33" t="s">
        <v>405</v>
      </c>
      <c r="C289" s="188"/>
      <c r="D289" s="34"/>
    </row>
    <row r="290" spans="1:4">
      <c r="A290" s="35">
        <v>4270</v>
      </c>
      <c r="B290" s="33" t="s">
        <v>406</v>
      </c>
      <c r="C290" s="188"/>
      <c r="D290" s="34"/>
    </row>
    <row r="291" spans="1:4">
      <c r="A291" s="35">
        <v>4301</v>
      </c>
      <c r="B291" s="33" t="s">
        <v>407</v>
      </c>
      <c r="C291" s="188"/>
      <c r="D291" s="34"/>
    </row>
    <row r="292" spans="1:4">
      <c r="A292" s="35">
        <v>4304</v>
      </c>
      <c r="B292" s="33" t="s">
        <v>408</v>
      </c>
      <c r="C292" s="188"/>
      <c r="D292" s="34"/>
    </row>
    <row r="293" spans="1:4">
      <c r="A293" s="35">
        <v>4305</v>
      </c>
      <c r="B293" s="33" t="s">
        <v>409</v>
      </c>
      <c r="C293" s="188"/>
      <c r="D293" s="34"/>
    </row>
    <row r="294" spans="1:4">
      <c r="A294" s="35">
        <v>4309</v>
      </c>
      <c r="B294" s="33" t="s">
        <v>410</v>
      </c>
      <c r="C294" s="188"/>
      <c r="D294" s="34"/>
    </row>
    <row r="295" spans="1:4">
      <c r="A295" s="35">
        <v>4322</v>
      </c>
      <c r="B295" s="33" t="s">
        <v>411</v>
      </c>
      <c r="C295" s="188"/>
      <c r="D295" s="34"/>
    </row>
    <row r="296" spans="1:4">
      <c r="A296" s="35">
        <v>4324</v>
      </c>
      <c r="B296" s="33" t="s">
        <v>412</v>
      </c>
      <c r="C296" s="188"/>
      <c r="D296" s="34"/>
    </row>
    <row r="297" spans="1:4">
      <c r="A297" s="35">
        <v>4351</v>
      </c>
      <c r="B297" s="33" t="s">
        <v>413</v>
      </c>
      <c r="C297" s="188"/>
      <c r="D297" s="34"/>
    </row>
    <row r="298" spans="1:4">
      <c r="A298" s="35">
        <v>4360</v>
      </c>
      <c r="B298" s="33" t="s">
        <v>334</v>
      </c>
      <c r="C298" s="188"/>
      <c r="D298" s="34"/>
    </row>
    <row r="299" spans="1:4">
      <c r="A299" s="35">
        <v>4363</v>
      </c>
      <c r="B299" s="33" t="s">
        <v>335</v>
      </c>
      <c r="C299" s="188"/>
      <c r="D299" s="34"/>
    </row>
    <row r="300" spans="1:4">
      <c r="A300" s="35">
        <v>4401</v>
      </c>
      <c r="B300" s="33" t="s">
        <v>336</v>
      </c>
      <c r="C300" s="188"/>
      <c r="D300" s="34"/>
    </row>
    <row r="301" spans="1:4">
      <c r="A301" s="35">
        <v>4402</v>
      </c>
      <c r="B301" s="33" t="s">
        <v>337</v>
      </c>
      <c r="C301" s="188"/>
      <c r="D301" s="34"/>
    </row>
    <row r="302" spans="1:4">
      <c r="A302" s="35">
        <v>4403</v>
      </c>
      <c r="B302" s="33" t="s">
        <v>338</v>
      </c>
      <c r="C302" s="188"/>
      <c r="D302" s="34"/>
    </row>
    <row r="303" spans="1:4">
      <c r="A303" s="35">
        <v>4420</v>
      </c>
      <c r="B303" s="33" t="s">
        <v>339</v>
      </c>
      <c r="C303" s="188"/>
      <c r="D303" s="34"/>
    </row>
    <row r="304" spans="1:4">
      <c r="A304" s="35">
        <v>4501</v>
      </c>
      <c r="B304" s="33" t="s">
        <v>340</v>
      </c>
      <c r="C304" s="188"/>
      <c r="D304" s="34"/>
    </row>
    <row r="305" spans="1:4">
      <c r="A305" s="35">
        <v>4502</v>
      </c>
      <c r="B305" s="33" t="s">
        <v>341</v>
      </c>
      <c r="C305" s="188"/>
      <c r="D305" s="34"/>
    </row>
    <row r="306" spans="1:4">
      <c r="A306" s="35">
        <v>4503</v>
      </c>
      <c r="B306" s="33" t="s">
        <v>342</v>
      </c>
      <c r="C306" s="188"/>
      <c r="D306" s="34"/>
    </row>
    <row r="307" spans="1:4">
      <c r="A307" s="35">
        <v>4523</v>
      </c>
      <c r="B307" s="33" t="s">
        <v>343</v>
      </c>
      <c r="C307" s="188"/>
      <c r="D307" s="34"/>
    </row>
    <row r="308" spans="1:4">
      <c r="A308" s="35">
        <v>4524</v>
      </c>
      <c r="B308" s="33" t="s">
        <v>344</v>
      </c>
      <c r="C308" s="188"/>
      <c r="D308" s="34"/>
    </row>
    <row r="309" spans="1:4">
      <c r="A309" s="35">
        <v>4601</v>
      </c>
      <c r="B309" s="33" t="s">
        <v>345</v>
      </c>
      <c r="C309" s="188"/>
      <c r="D309" s="34"/>
    </row>
    <row r="310" spans="1:4">
      <c r="A310" s="35">
        <v>4701</v>
      </c>
      <c r="B310" s="33" t="s">
        <v>346</v>
      </c>
      <c r="C310" s="188"/>
      <c r="D310" s="34"/>
    </row>
    <row r="311" spans="1:4">
      <c r="A311" s="35">
        <v>4702</v>
      </c>
      <c r="B311" s="33" t="s">
        <v>347</v>
      </c>
      <c r="C311" s="188"/>
      <c r="D311" s="34"/>
    </row>
    <row r="312" spans="1:4">
      <c r="A312" s="35">
        <v>4801</v>
      </c>
      <c r="B312" s="33" t="s">
        <v>236</v>
      </c>
      <c r="C312" s="188"/>
      <c r="D312" s="34"/>
    </row>
    <row r="313" spans="1:4">
      <c r="A313" s="35">
        <v>4820</v>
      </c>
      <c r="B313" s="33" t="s">
        <v>348</v>
      </c>
      <c r="C313" s="188"/>
      <c r="D313" s="34"/>
    </row>
    <row r="314" spans="1:4">
      <c r="A314" s="35">
        <v>4901</v>
      </c>
      <c r="B314" s="33" t="s">
        <v>349</v>
      </c>
      <c r="C314" s="188"/>
      <c r="D314" s="34"/>
    </row>
    <row r="315" spans="1:4">
      <c r="A315" s="35">
        <v>4902</v>
      </c>
      <c r="B315" s="33" t="s">
        <v>350</v>
      </c>
      <c r="C315" s="188"/>
      <c r="D315" s="34"/>
    </row>
    <row r="316" spans="1:4">
      <c r="A316" s="35">
        <v>4903</v>
      </c>
      <c r="B316" s="33" t="s">
        <v>351</v>
      </c>
      <c r="C316" s="188"/>
      <c r="D316" s="34"/>
    </row>
    <row r="317" spans="1:4">
      <c r="A317" s="35">
        <v>4930</v>
      </c>
      <c r="B317" s="33" t="s">
        <v>434</v>
      </c>
      <c r="C317" s="188"/>
      <c r="D317" s="34"/>
    </row>
    <row r="318" spans="1:4">
      <c r="A318" s="35">
        <v>4960</v>
      </c>
      <c r="B318" s="33" t="s">
        <v>435</v>
      </c>
      <c r="C318" s="188"/>
      <c r="D318" s="34"/>
    </row>
    <row r="319" spans="1:4">
      <c r="A319" s="35">
        <v>4970</v>
      </c>
      <c r="B319" s="33" t="s">
        <v>436</v>
      </c>
      <c r="C319" s="188"/>
      <c r="D319" s="34"/>
    </row>
    <row r="320" spans="1:4">
      <c r="A320" s="35">
        <v>5101</v>
      </c>
      <c r="B320" s="33" t="s">
        <v>437</v>
      </c>
      <c r="C320" s="188"/>
      <c r="D320" s="34"/>
    </row>
    <row r="321" spans="1:4">
      <c r="A321" s="35">
        <v>5102</v>
      </c>
      <c r="B321" s="33" t="s">
        <v>438</v>
      </c>
      <c r="C321" s="188"/>
      <c r="D321" s="34"/>
    </row>
    <row r="322" spans="1:4">
      <c r="A322" s="35">
        <v>5103</v>
      </c>
      <c r="B322" s="33" t="s">
        <v>439</v>
      </c>
      <c r="C322" s="188"/>
      <c r="D322" s="34"/>
    </row>
    <row r="323" spans="1:4">
      <c r="A323" s="35">
        <v>5104</v>
      </c>
      <c r="B323" s="33" t="s">
        <v>440</v>
      </c>
      <c r="C323" s="188"/>
      <c r="D323" s="34"/>
    </row>
    <row r="324" spans="1:4">
      <c r="A324" s="35">
        <v>5105</v>
      </c>
      <c r="B324" s="33" t="s">
        <v>441</v>
      </c>
      <c r="C324" s="188"/>
      <c r="D324" s="34"/>
    </row>
    <row r="325" spans="1:4">
      <c r="A325" s="35">
        <v>5111</v>
      </c>
      <c r="B325" s="33" t="s">
        <v>442</v>
      </c>
      <c r="C325" s="188"/>
      <c r="D325" s="34"/>
    </row>
    <row r="326" spans="1:4">
      <c r="A326" s="35">
        <v>5151</v>
      </c>
      <c r="B326" s="33" t="s">
        <v>443</v>
      </c>
      <c r="C326" s="188"/>
      <c r="D326" s="34"/>
    </row>
    <row r="327" spans="1:4">
      <c r="A327" s="35">
        <v>5201</v>
      </c>
      <c r="B327" s="33" t="s">
        <v>444</v>
      </c>
      <c r="C327" s="188"/>
      <c r="D327" s="34"/>
    </row>
    <row r="328" spans="1:4">
      <c r="A328" s="35">
        <v>5211</v>
      </c>
      <c r="B328" s="33" t="s">
        <v>445</v>
      </c>
      <c r="C328" s="188"/>
      <c r="D328" s="34"/>
    </row>
    <row r="329" spans="1:4">
      <c r="A329" s="35">
        <v>5213</v>
      </c>
      <c r="B329" s="33" t="s">
        <v>446</v>
      </c>
      <c r="C329" s="188"/>
      <c r="D329" s="34"/>
    </row>
    <row r="330" spans="1:4">
      <c r="A330" s="35">
        <v>5221</v>
      </c>
      <c r="B330" s="33" t="s">
        <v>447</v>
      </c>
      <c r="C330" s="188"/>
      <c r="D330" s="34"/>
    </row>
    <row r="331" spans="1:4">
      <c r="A331" s="35">
        <v>5222</v>
      </c>
      <c r="B331" s="33" t="s">
        <v>448</v>
      </c>
      <c r="C331" s="188"/>
      <c r="D331" s="34"/>
    </row>
    <row r="332" spans="1:4">
      <c r="A332" s="35">
        <v>5264</v>
      </c>
      <c r="B332" s="33" t="s">
        <v>449</v>
      </c>
      <c r="C332" s="188"/>
      <c r="D332" s="34"/>
    </row>
    <row r="333" spans="1:4">
      <c r="A333" s="35">
        <v>5271</v>
      </c>
      <c r="B333" s="33" t="s">
        <v>450</v>
      </c>
      <c r="C333" s="188"/>
      <c r="D333" s="34"/>
    </row>
    <row r="334" spans="1:4">
      <c r="A334" s="35">
        <v>5401</v>
      </c>
      <c r="B334" s="33" t="s">
        <v>451</v>
      </c>
      <c r="C334" s="188"/>
      <c r="D334" s="34"/>
    </row>
    <row r="335" spans="1:4">
      <c r="A335" s="35">
        <v>5403</v>
      </c>
      <c r="B335" s="33" t="s">
        <v>452</v>
      </c>
      <c r="C335" s="188"/>
      <c r="D335" s="34"/>
    </row>
    <row r="336" spans="1:4">
      <c r="A336" s="35">
        <v>5412</v>
      </c>
      <c r="B336" s="33" t="s">
        <v>453</v>
      </c>
      <c r="C336" s="188"/>
      <c r="D336" s="34"/>
    </row>
    <row r="337" spans="1:4">
      <c r="A337" s="35">
        <v>5415</v>
      </c>
      <c r="B337" s="33" t="s">
        <v>454</v>
      </c>
      <c r="C337" s="188"/>
      <c r="D337" s="34"/>
    </row>
    <row r="338" spans="1:4">
      <c r="A338" s="35">
        <v>5420</v>
      </c>
      <c r="B338" s="33" t="s">
        <v>455</v>
      </c>
      <c r="C338" s="188"/>
      <c r="D338" s="34"/>
    </row>
    <row r="339" spans="1:4">
      <c r="A339" s="35">
        <v>5425</v>
      </c>
      <c r="B339" s="33" t="s">
        <v>456</v>
      </c>
      <c r="C339" s="188"/>
      <c r="D339" s="34"/>
    </row>
    <row r="340" spans="1:4">
      <c r="A340" s="35">
        <v>5452</v>
      </c>
      <c r="B340" s="33" t="s">
        <v>457</v>
      </c>
      <c r="C340" s="188"/>
      <c r="D340" s="34"/>
    </row>
    <row r="341" spans="1:4">
      <c r="A341" s="35">
        <v>5525</v>
      </c>
      <c r="B341" s="33" t="s">
        <v>458</v>
      </c>
      <c r="C341" s="188"/>
      <c r="D341" s="34"/>
    </row>
    <row r="342" spans="1:4">
      <c r="A342" s="35">
        <v>5801</v>
      </c>
      <c r="B342" s="33" t="s">
        <v>459</v>
      </c>
      <c r="C342" s="188"/>
      <c r="D342" s="34"/>
    </row>
    <row r="343" spans="1:4">
      <c r="A343" s="35">
        <v>5802</v>
      </c>
      <c r="B343" s="33" t="s">
        <v>370</v>
      </c>
      <c r="C343" s="188"/>
      <c r="D343" s="34"/>
    </row>
    <row r="344" spans="1:4">
      <c r="A344" s="35">
        <v>6002</v>
      </c>
      <c r="B344" s="33" t="s">
        <v>176</v>
      </c>
      <c r="C344" s="188">
        <v>7.28</v>
      </c>
      <c r="D344" s="34"/>
    </row>
    <row r="345" spans="1:4">
      <c r="A345" s="35">
        <v>6003</v>
      </c>
      <c r="B345" s="33" t="s">
        <v>371</v>
      </c>
      <c r="C345" s="188">
        <v>11.04</v>
      </c>
      <c r="D345" s="34"/>
    </row>
    <row r="346" spans="1:4">
      <c r="A346" s="35">
        <v>6052</v>
      </c>
      <c r="B346" s="33" t="s">
        <v>372</v>
      </c>
      <c r="C346" s="188">
        <v>4.49</v>
      </c>
      <c r="D346" s="34"/>
    </row>
    <row r="347" spans="1:4">
      <c r="A347" s="35">
        <v>6053</v>
      </c>
      <c r="B347" s="33" t="s">
        <v>373</v>
      </c>
      <c r="C347" s="188">
        <v>35.65</v>
      </c>
      <c r="D347" s="34"/>
    </row>
    <row r="348" spans="1:4">
      <c r="A348" s="35">
        <v>6113</v>
      </c>
      <c r="B348" s="33" t="s">
        <v>374</v>
      </c>
      <c r="C348" s="188">
        <v>46.33</v>
      </c>
      <c r="D348" s="34"/>
    </row>
    <row r="349" spans="1:4">
      <c r="A349" s="35">
        <v>6115</v>
      </c>
      <c r="B349" s="33" t="s">
        <v>375</v>
      </c>
      <c r="C349" s="188">
        <v>4.37</v>
      </c>
      <c r="D349" s="34"/>
    </row>
    <row r="350" spans="1:4" ht="36">
      <c r="A350" s="35">
        <v>6116</v>
      </c>
      <c r="B350" s="33" t="s">
        <v>376</v>
      </c>
      <c r="C350" s="188">
        <v>72.52</v>
      </c>
      <c r="D350" s="34"/>
    </row>
    <row r="351" spans="1:4">
      <c r="A351" s="35">
        <v>6118</v>
      </c>
      <c r="B351" s="33" t="s">
        <v>377</v>
      </c>
      <c r="C351" s="188">
        <v>6.18</v>
      </c>
      <c r="D351" s="34"/>
    </row>
    <row r="352" spans="1:4">
      <c r="A352" s="35">
        <v>6133</v>
      </c>
      <c r="B352" s="33" t="s">
        <v>378</v>
      </c>
      <c r="C352" s="188">
        <v>36.5</v>
      </c>
      <c r="D352" s="34"/>
    </row>
    <row r="353" spans="1:4">
      <c r="A353" s="35">
        <v>6144</v>
      </c>
      <c r="B353" s="33" t="s">
        <v>379</v>
      </c>
      <c r="C353" s="188">
        <v>19.04</v>
      </c>
      <c r="D353" s="34"/>
    </row>
    <row r="354" spans="1:4">
      <c r="A354" s="35">
        <v>6153</v>
      </c>
      <c r="B354" s="33" t="s">
        <v>380</v>
      </c>
      <c r="C354" s="188">
        <v>14.55</v>
      </c>
      <c r="D354" s="34"/>
    </row>
    <row r="355" spans="1:4">
      <c r="A355" s="35">
        <v>6154</v>
      </c>
      <c r="B355" s="33" t="s">
        <v>381</v>
      </c>
      <c r="C355" s="188">
        <v>21.95</v>
      </c>
      <c r="D355" s="34"/>
    </row>
    <row r="356" spans="1:4">
      <c r="A356" s="35">
        <v>6161</v>
      </c>
      <c r="B356" s="33" t="s">
        <v>382</v>
      </c>
      <c r="C356" s="188">
        <v>147.34</v>
      </c>
      <c r="D356" s="34"/>
    </row>
    <row r="357" spans="1:4">
      <c r="A357" s="35">
        <v>6200</v>
      </c>
      <c r="B357" s="33" t="s">
        <v>466</v>
      </c>
      <c r="C357" s="188">
        <v>64.03</v>
      </c>
      <c r="D357" s="34"/>
    </row>
    <row r="358" spans="1:4">
      <c r="A358" s="35">
        <v>6201</v>
      </c>
      <c r="B358" s="33" t="s">
        <v>467</v>
      </c>
      <c r="C358" s="188">
        <v>64.03</v>
      </c>
      <c r="D358" s="34"/>
    </row>
    <row r="359" spans="1:4">
      <c r="A359" s="35">
        <v>6202</v>
      </c>
      <c r="B359" s="33" t="s">
        <v>468</v>
      </c>
      <c r="C359" s="188">
        <v>100.9</v>
      </c>
      <c r="D359" s="34"/>
    </row>
    <row r="360" spans="1:4">
      <c r="A360" s="35">
        <v>6420</v>
      </c>
      <c r="B360" s="33" t="s">
        <v>469</v>
      </c>
      <c r="C360" s="188">
        <v>40.020000000000003</v>
      </c>
      <c r="D360" s="34"/>
    </row>
    <row r="361" spans="1:4">
      <c r="A361" s="35">
        <v>6421</v>
      </c>
      <c r="B361" s="33" t="s">
        <v>470</v>
      </c>
      <c r="C361" s="188">
        <v>142.49</v>
      </c>
      <c r="D361" s="34"/>
    </row>
    <row r="362" spans="1:4">
      <c r="A362" s="35">
        <v>6431</v>
      </c>
      <c r="B362" s="33" t="s">
        <v>471</v>
      </c>
      <c r="C362" s="188">
        <v>155.22999999999999</v>
      </c>
      <c r="D362" s="34"/>
    </row>
    <row r="363" spans="1:4">
      <c r="A363" s="35">
        <v>6432</v>
      </c>
      <c r="B363" s="33" t="s">
        <v>472</v>
      </c>
      <c r="C363" s="188">
        <v>58.57</v>
      </c>
      <c r="D363" s="34"/>
    </row>
    <row r="364" spans="1:4">
      <c r="A364" s="35">
        <v>6442</v>
      </c>
      <c r="B364" s="33" t="s">
        <v>473</v>
      </c>
      <c r="C364" s="188">
        <v>130.97</v>
      </c>
      <c r="D364" s="34"/>
    </row>
    <row r="365" spans="1:4">
      <c r="A365" s="35">
        <v>6443</v>
      </c>
      <c r="B365" s="33" t="s">
        <v>474</v>
      </c>
      <c r="C365" s="188">
        <v>155.22999999999999</v>
      </c>
      <c r="D365" s="34"/>
    </row>
    <row r="366" spans="1:4">
      <c r="A366" s="35">
        <v>6444</v>
      </c>
      <c r="B366" s="33" t="s">
        <v>475</v>
      </c>
      <c r="C366" s="188">
        <v>162.5</v>
      </c>
      <c r="D366" s="34"/>
    </row>
    <row r="367" spans="1:4">
      <c r="A367" s="35">
        <v>6451</v>
      </c>
      <c r="B367" s="33" t="s">
        <v>476</v>
      </c>
      <c r="C367" s="188">
        <v>81.25</v>
      </c>
      <c r="D367" s="34"/>
    </row>
    <row r="368" spans="1:4">
      <c r="A368" s="35">
        <v>6452</v>
      </c>
      <c r="B368" s="33" t="s">
        <v>477</v>
      </c>
      <c r="C368" s="188">
        <v>92.65</v>
      </c>
      <c r="D368" s="34"/>
    </row>
    <row r="369" spans="1:4">
      <c r="A369" s="35">
        <v>6490</v>
      </c>
      <c r="B369" s="33" t="s">
        <v>478</v>
      </c>
      <c r="C369" s="188">
        <v>73.73</v>
      </c>
      <c r="D369" s="34"/>
    </row>
    <row r="370" spans="1:4">
      <c r="A370" s="35">
        <v>6901</v>
      </c>
      <c r="B370" s="33" t="s">
        <v>287</v>
      </c>
      <c r="C370" s="188">
        <v>23.53</v>
      </c>
      <c r="D370" s="34"/>
    </row>
    <row r="371" spans="1:4">
      <c r="A371" s="35">
        <v>6902</v>
      </c>
      <c r="B371" s="33" t="s">
        <v>479</v>
      </c>
      <c r="C371" s="188">
        <v>14.55</v>
      </c>
      <c r="D371" s="34"/>
    </row>
    <row r="372" spans="1:4">
      <c r="A372" s="35">
        <v>6903</v>
      </c>
      <c r="B372" s="33" t="s">
        <v>351</v>
      </c>
      <c r="C372" s="188">
        <v>30.08</v>
      </c>
      <c r="D372" s="34"/>
    </row>
    <row r="373" spans="1:4">
      <c r="A373" s="35">
        <v>6951</v>
      </c>
      <c r="B373" s="33" t="s">
        <v>480</v>
      </c>
      <c r="C373" s="188">
        <v>27.04</v>
      </c>
      <c r="D373" s="34"/>
    </row>
    <row r="374" spans="1:4">
      <c r="A374" s="35">
        <v>6952</v>
      </c>
      <c r="B374" s="33" t="s">
        <v>481</v>
      </c>
      <c r="C374" s="188">
        <v>27.04</v>
      </c>
      <c r="D374" s="34"/>
    </row>
    <row r="375" spans="1:4">
      <c r="A375" s="35">
        <v>9006</v>
      </c>
      <c r="B375" s="33" t="s">
        <v>482</v>
      </c>
      <c r="C375" s="187"/>
      <c r="D375" s="34"/>
    </row>
    <row r="376" spans="1:4">
      <c r="A376" s="35">
        <v>9010</v>
      </c>
      <c r="B376" s="33" t="s">
        <v>483</v>
      </c>
      <c r="C376" s="188"/>
      <c r="D376" s="34"/>
    </row>
    <row r="377" spans="1:4">
      <c r="A377" s="35">
        <v>9058</v>
      </c>
      <c r="B377" s="33" t="s">
        <v>484</v>
      </c>
      <c r="C377" s="187"/>
      <c r="D377" s="34"/>
    </row>
    <row r="378" spans="1:4">
      <c r="A378" s="35">
        <v>9101</v>
      </c>
      <c r="B378" s="33" t="s">
        <v>485</v>
      </c>
      <c r="C378" s="187"/>
      <c r="D378" s="34"/>
    </row>
    <row r="379" spans="1:4">
      <c r="A379" s="35">
        <v>9306</v>
      </c>
      <c r="B379" s="33" t="s">
        <v>486</v>
      </c>
      <c r="C379" s="188">
        <v>45.2</v>
      </c>
      <c r="D379" s="34"/>
    </row>
    <row r="380" spans="1:4">
      <c r="A380" s="35">
        <v>9358</v>
      </c>
      <c r="B380" s="33" t="s">
        <v>487</v>
      </c>
      <c r="C380" s="188">
        <v>31.05</v>
      </c>
      <c r="D380" s="34"/>
    </row>
    <row r="381" spans="1:4">
      <c r="A381" s="35">
        <v>9401</v>
      </c>
      <c r="B381" s="33" t="s">
        <v>488</v>
      </c>
      <c r="C381" s="188"/>
      <c r="D381" s="34"/>
    </row>
    <row r="382" spans="1:4">
      <c r="A382" s="35">
        <v>9451</v>
      </c>
      <c r="B382" s="33" t="s">
        <v>489</v>
      </c>
      <c r="C382" s="188"/>
      <c r="D382" s="34"/>
    </row>
    <row r="383" spans="1:4">
      <c r="A383" s="35">
        <v>9701</v>
      </c>
      <c r="B383" s="33" t="s">
        <v>490</v>
      </c>
      <c r="C383" s="188"/>
      <c r="D383" s="34"/>
    </row>
    <row r="384" spans="1:4">
      <c r="A384" s="35">
        <v>9711</v>
      </c>
      <c r="B384" s="33" t="s">
        <v>414</v>
      </c>
      <c r="C384" s="188"/>
      <c r="D384" s="34"/>
    </row>
    <row r="385" spans="1:4">
      <c r="A385" s="35">
        <v>9721</v>
      </c>
      <c r="B385" s="33" t="s">
        <v>415</v>
      </c>
      <c r="C385" s="188"/>
      <c r="D385" s="34"/>
    </row>
    <row r="386" spans="1:4">
      <c r="A386" s="35">
        <v>9741</v>
      </c>
      <c r="B386" s="33" t="s">
        <v>416</v>
      </c>
      <c r="C386" s="188"/>
      <c r="D386" s="34"/>
    </row>
    <row r="387" spans="1:4">
      <c r="A387" s="35">
        <v>9751</v>
      </c>
      <c r="B387" s="33" t="s">
        <v>417</v>
      </c>
      <c r="C387" s="188"/>
      <c r="D387" s="34"/>
    </row>
    <row r="388" spans="1:4">
      <c r="A388" s="35">
        <v>9760</v>
      </c>
      <c r="B388" s="33" t="s">
        <v>418</v>
      </c>
      <c r="C388" s="188"/>
      <c r="D388" s="34"/>
    </row>
    <row r="389" spans="1:4">
      <c r="A389" s="35">
        <v>9770</v>
      </c>
      <c r="B389" s="33" t="s">
        <v>419</v>
      </c>
      <c r="C389" s="188"/>
      <c r="D389" s="34"/>
    </row>
    <row r="390" spans="1:4">
      <c r="A390" s="35">
        <v>9781</v>
      </c>
      <c r="B390" s="33" t="s">
        <v>420</v>
      </c>
      <c r="C390" s="188"/>
      <c r="D390" s="34"/>
    </row>
    <row r="391" spans="1:4">
      <c r="A391" s="35">
        <v>9901</v>
      </c>
      <c r="B391" s="33" t="s">
        <v>421</v>
      </c>
      <c r="C391" s="188"/>
      <c r="D391" s="34"/>
    </row>
    <row r="392" spans="1:4">
      <c r="A392" s="38">
        <v>9952</v>
      </c>
      <c r="B392" s="39" t="s">
        <v>422</v>
      </c>
      <c r="C392" s="187">
        <v>25</v>
      </c>
      <c r="D392" s="34"/>
    </row>
    <row r="393" spans="1:4">
      <c r="A393" s="38">
        <v>9956</v>
      </c>
      <c r="B393" s="39" t="s">
        <v>423</v>
      </c>
      <c r="C393" s="187">
        <v>43.6</v>
      </c>
    </row>
    <row r="394" spans="1:4">
      <c r="A394" s="40">
        <v>9957</v>
      </c>
      <c r="B394" s="39" t="s">
        <v>424</v>
      </c>
      <c r="C394" s="187">
        <v>53.75</v>
      </c>
    </row>
    <row r="395" spans="1:4">
      <c r="A395" s="38">
        <v>9958</v>
      </c>
      <c r="B395" s="39" t="s">
        <v>425</v>
      </c>
      <c r="C395" s="187">
        <v>18.899999999999999</v>
      </c>
    </row>
    <row r="396" spans="1:4">
      <c r="A396" s="38">
        <v>9953</v>
      </c>
      <c r="B396" s="39" t="s">
        <v>426</v>
      </c>
      <c r="C396" s="187">
        <v>4.95</v>
      </c>
    </row>
    <row r="397" spans="1:4">
      <c r="A397" s="40">
        <v>9959</v>
      </c>
      <c r="B397" s="39" t="s">
        <v>427</v>
      </c>
      <c r="C397" s="187">
        <v>20</v>
      </c>
    </row>
    <row r="398" spans="1:4">
      <c r="A398" s="40">
        <v>9960</v>
      </c>
      <c r="B398" s="41" t="s">
        <v>428</v>
      </c>
      <c r="C398" s="187">
        <v>82.75</v>
      </c>
    </row>
    <row r="399" spans="1:4">
      <c r="A399" s="38">
        <v>9961</v>
      </c>
      <c r="B399" s="41" t="s">
        <v>429</v>
      </c>
      <c r="C399" s="187">
        <v>145.19999999999999</v>
      </c>
    </row>
    <row r="400" spans="1:4">
      <c r="A400" s="38">
        <v>9970</v>
      </c>
      <c r="B400" s="39" t="s">
        <v>430</v>
      </c>
      <c r="C400" s="187">
        <v>450</v>
      </c>
    </row>
    <row r="401" spans="1:3">
      <c r="A401" s="38">
        <v>9971</v>
      </c>
      <c r="B401" s="39" t="s">
        <v>431</v>
      </c>
      <c r="C401" s="187">
        <v>146</v>
      </c>
    </row>
    <row r="402" spans="1:3">
      <c r="A402" s="38">
        <v>9972</v>
      </c>
      <c r="B402" s="39" t="s">
        <v>432</v>
      </c>
      <c r="C402" s="187">
        <v>346</v>
      </c>
    </row>
    <row r="403" spans="1:3">
      <c r="A403" s="38">
        <v>9973</v>
      </c>
      <c r="B403" s="39" t="s">
        <v>433</v>
      </c>
      <c r="C403" s="187">
        <v>165</v>
      </c>
    </row>
    <row r="404" spans="1:3">
      <c r="A404" s="35"/>
      <c r="B404" s="37"/>
      <c r="C404" s="188"/>
    </row>
  </sheetData>
  <sheetProtection sheet="1" objects="1" scenarios="1"/>
  <autoFilter ref="A1:C1"/>
  <phoneticPr fontId="26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71"/>
  <sheetViews>
    <sheetView topLeftCell="C1" workbookViewId="0">
      <selection activeCell="P1" sqref="P1:Y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5" width="0" hidden="1" customWidth="1"/>
  </cols>
  <sheetData>
    <row r="1" spans="1:24" ht="43.35" customHeight="1">
      <c r="A1" s="298" t="s">
        <v>99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SUM(C54,C59,C60,C61)</f>
        <v>360.35999999999996</v>
      </c>
      <c r="D4" s="14">
        <f>SUM(D54,D59,D60,D61)</f>
        <v>416</v>
      </c>
      <c r="E4" s="10"/>
      <c r="F4" s="14">
        <f>SUM(F54,F59,F60,F61)</f>
        <v>90.089999999999989</v>
      </c>
      <c r="G4" s="14">
        <f>SUM(G54,G59,G60,G61)</f>
        <v>104</v>
      </c>
      <c r="H4" s="175">
        <f>SUM(F4,G4)</f>
        <v>194.08999999999997</v>
      </c>
      <c r="I4" s="5">
        <f>F4/(Kengetallen!C4)</f>
        <v>4.4932668329177048</v>
      </c>
      <c r="J4" s="1">
        <v>84</v>
      </c>
      <c r="K4" s="15">
        <f>ROUNDUP(J4-I4,1)</f>
        <v>79.599999999999994</v>
      </c>
      <c r="L4" s="16">
        <f>D4-G4</f>
        <v>312</v>
      </c>
      <c r="M4" t="b">
        <f>ISBLANK(F4)</f>
        <v>0</v>
      </c>
      <c r="W4" s="216">
        <f>SUM(W5:W68)</f>
        <v>90.089999999999989</v>
      </c>
      <c r="X4" s="216">
        <f>SUM(X5:X68)</f>
        <v>104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P25</v>
      </c>
      <c r="S5" t="str">
        <f t="shared" si="0"/>
        <v>Volledig kunstgebit onderkaak</v>
      </c>
      <c r="T5" s="221">
        <f t="shared" si="0"/>
        <v>215.14</v>
      </c>
      <c r="U5" s="221">
        <f t="shared" si="0"/>
        <v>365</v>
      </c>
      <c r="V5" s="223">
        <f t="shared" si="0"/>
        <v>0.25</v>
      </c>
      <c r="W5" s="221">
        <f t="shared" si="0"/>
        <v>53.784999999999997</v>
      </c>
      <c r="X5" s="221">
        <f t="shared" si="0"/>
        <v>91.25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P14</v>
      </c>
      <c r="S6" t="str">
        <f t="shared" si="0"/>
        <v>Individuele afdruk met randopbouw</v>
      </c>
      <c r="T6" s="221">
        <f t="shared" si="0"/>
        <v>59.16</v>
      </c>
      <c r="U6" s="221">
        <f t="shared" si="0"/>
        <v>0</v>
      </c>
      <c r="V6" s="223">
        <f t="shared" si="0"/>
        <v>0.25</v>
      </c>
      <c r="W6" s="221">
        <f t="shared" si="0"/>
        <v>14.79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>P37</v>
      </c>
      <c r="S7" t="str">
        <f t="shared" si="0"/>
        <v>Frontopstelling in aparte zitting</v>
      </c>
      <c r="T7" s="221">
        <f t="shared" si="0"/>
        <v>32.270000000000003</v>
      </c>
      <c r="U7" s="221">
        <f t="shared" si="0"/>
        <v>0</v>
      </c>
      <c r="V7" s="223">
        <f t="shared" si="0"/>
        <v>0.25</v>
      </c>
      <c r="W7" s="221">
        <f t="shared" si="0"/>
        <v>8.0675000000000008</v>
      </c>
      <c r="X7" s="221">
        <f t="shared" si="0"/>
        <v>0</v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24"/>
      <c r="H8" s="24"/>
      <c r="M8" s="20" t="b">
        <f t="shared" si="1"/>
        <v>1</v>
      </c>
      <c r="Q8" s="20" t="str">
        <f t="shared" si="2"/>
        <v/>
      </c>
      <c r="R8" t="str">
        <f t="shared" si="0"/>
        <v>P17</v>
      </c>
      <c r="S8" t="str">
        <f t="shared" si="0"/>
        <v>Toeslag voor beetregistratie met specifieke apparatuur</v>
      </c>
      <c r="T8" s="221">
        <f t="shared" si="0"/>
        <v>53.79</v>
      </c>
      <c r="U8" s="221">
        <f t="shared" si="0"/>
        <v>51</v>
      </c>
      <c r="V8" s="223">
        <f t="shared" si="0"/>
        <v>0.25</v>
      </c>
      <c r="W8" s="221">
        <f t="shared" si="0"/>
        <v>13.4475</v>
      </c>
      <c r="X8" s="221">
        <f t="shared" si="0"/>
        <v>12.75</v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>
        <f>C54*E54</f>
        <v>53.784999999999997</v>
      </c>
      <c r="G54" s="179">
        <f>D54*E54</f>
        <v>91.25</v>
      </c>
      <c r="H54" s="24"/>
      <c r="M54" s="20" t="b">
        <f t="shared" si="1"/>
        <v>0</v>
      </c>
      <c r="Q54" s="20">
        <f t="shared" si="2"/>
        <v>54</v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179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179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27"/>
      <c r="E59" s="23">
        <f>Kengetallen!F59</f>
        <v>0.25</v>
      </c>
      <c r="F59" s="179">
        <f>C59*E59</f>
        <v>14.79</v>
      </c>
      <c r="G59" s="179"/>
      <c r="H59" s="24"/>
      <c r="M59" s="20" t="b">
        <f t="shared" si="1"/>
        <v>0</v>
      </c>
      <c r="Q59" s="20">
        <f t="shared" si="2"/>
        <v>59</v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27"/>
      <c r="E60" s="23">
        <f>Kengetallen!F60</f>
        <v>0.25</v>
      </c>
      <c r="F60" s="179">
        <f>C60*E60</f>
        <v>8.0675000000000008</v>
      </c>
      <c r="G60" s="179"/>
      <c r="H60" s="24"/>
      <c r="M60" s="20" t="b">
        <f t="shared" si="1"/>
        <v>0</v>
      </c>
      <c r="Q60" s="20">
        <f t="shared" si="2"/>
        <v>60</v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>
        <f>C61*E61</f>
        <v>13.4475</v>
      </c>
      <c r="G61" s="179">
        <f>D61*E61</f>
        <v>12.75</v>
      </c>
      <c r="H61" s="24"/>
      <c r="M61" s="20" t="b">
        <f t="shared" si="1"/>
        <v>0</v>
      </c>
      <c r="Q61" s="20">
        <f t="shared" si="2"/>
        <v>61</v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>
      <c r="I69" s="297" t="s">
        <v>644</v>
      </c>
    </row>
    <row r="70" spans="1:24">
      <c r="I70" s="297"/>
    </row>
    <row r="71" spans="1:24">
      <c r="I71" s="297"/>
    </row>
  </sheetData>
  <sheetProtection sheet="1" objects="1" scenarios="1"/>
  <autoFilter ref="M1:M71">
    <filterColumn colId="0">
      <filters>
        <filter val="ONWAAR"/>
      </filters>
    </filterColumn>
  </autoFilter>
  <mergeCells count="7">
    <mergeCell ref="K2:K3"/>
    <mergeCell ref="L2:L3"/>
    <mergeCell ref="I69:I71"/>
    <mergeCell ref="A1:B1"/>
    <mergeCell ref="F1:H1"/>
    <mergeCell ref="F2:H2"/>
    <mergeCell ref="J2:J3"/>
  </mergeCells>
  <phoneticPr fontId="26" type="noConversion"/>
  <hyperlinks>
    <hyperlink ref="I69:I71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J43" sqref="J43"/>
    </sheetView>
  </sheetViews>
  <sheetFormatPr defaultColWidth="8.85546875" defaultRowHeight="15"/>
  <cols>
    <col min="1" max="1" width="6.85546875" style="47" customWidth="1"/>
    <col min="2" max="2" width="7" style="46" customWidth="1"/>
    <col min="3" max="3" width="96" style="44" customWidth="1"/>
    <col min="4" max="4" width="11.28515625" style="22" customWidth="1"/>
    <col min="5" max="5" width="13.28515625" style="22" customWidth="1"/>
    <col min="6" max="6" width="10.85546875" style="45" customWidth="1"/>
    <col min="7" max="16384" width="8.85546875" style="44"/>
  </cols>
  <sheetData>
    <row r="1" spans="1:8" ht="15.75">
      <c r="A1" s="82"/>
      <c r="B1" s="59" t="s">
        <v>123</v>
      </c>
      <c r="C1" s="57" t="s">
        <v>513</v>
      </c>
      <c r="D1" s="144"/>
      <c r="E1" s="144"/>
      <c r="F1" s="76"/>
    </row>
    <row r="2" spans="1:8" ht="15.75">
      <c r="A2" s="56" t="s">
        <v>91</v>
      </c>
      <c r="B2" s="55" t="s">
        <v>504</v>
      </c>
      <c r="C2" s="54" t="s">
        <v>133</v>
      </c>
      <c r="D2" s="145" t="s">
        <v>17</v>
      </c>
      <c r="E2" s="145" t="s">
        <v>503</v>
      </c>
      <c r="F2" s="53" t="s">
        <v>16</v>
      </c>
    </row>
    <row r="3" spans="1:8" ht="15.75">
      <c r="A3" s="52">
        <v>1002</v>
      </c>
      <c r="B3" s="51">
        <v>2</v>
      </c>
      <c r="C3" s="50" t="s">
        <v>176</v>
      </c>
      <c r="D3" s="146">
        <v>7.28</v>
      </c>
      <c r="E3" s="146">
        <f t="shared" ref="E3:E15" si="0">D3*B3</f>
        <v>14.56</v>
      </c>
      <c r="F3" s="71"/>
    </row>
    <row r="4" spans="1:8" ht="15.75">
      <c r="A4" s="52">
        <v>1104</v>
      </c>
      <c r="B4" s="51">
        <v>2</v>
      </c>
      <c r="C4" s="50" t="s">
        <v>77</v>
      </c>
      <c r="D4" s="146">
        <v>34.68</v>
      </c>
      <c r="E4" s="146">
        <f t="shared" si="0"/>
        <v>69.36</v>
      </c>
      <c r="F4" s="71"/>
    </row>
    <row r="5" spans="1:8" ht="15.75">
      <c r="A5" s="52">
        <v>1152</v>
      </c>
      <c r="B5" s="51">
        <v>2</v>
      </c>
      <c r="C5" s="50" t="s">
        <v>83</v>
      </c>
      <c r="D5" s="146">
        <v>9.2200000000000006</v>
      </c>
      <c r="E5" s="146">
        <f t="shared" si="0"/>
        <v>18.440000000000001</v>
      </c>
      <c r="F5" s="71"/>
    </row>
    <row r="6" spans="1:8" ht="15.75">
      <c r="A6" s="52">
        <v>1253</v>
      </c>
      <c r="B6" s="51">
        <v>2</v>
      </c>
      <c r="C6" s="50" t="s">
        <v>88</v>
      </c>
      <c r="D6" s="146">
        <v>14.55</v>
      </c>
      <c r="E6" s="146">
        <f t="shared" si="0"/>
        <v>29.1</v>
      </c>
      <c r="F6" s="71"/>
    </row>
    <row r="7" spans="1:8" ht="15.75">
      <c r="A7" s="52">
        <v>1053</v>
      </c>
      <c r="B7" s="51">
        <v>1</v>
      </c>
      <c r="C7" s="50" t="s">
        <v>183</v>
      </c>
      <c r="D7" s="146">
        <v>14.55</v>
      </c>
      <c r="E7" s="146">
        <f t="shared" si="0"/>
        <v>14.55</v>
      </c>
      <c r="F7" s="71"/>
    </row>
    <row r="8" spans="1:8" ht="15.75">
      <c r="A8" s="52">
        <v>1251</v>
      </c>
      <c r="B8" s="51">
        <v>2</v>
      </c>
      <c r="C8" s="50" t="s">
        <v>87</v>
      </c>
      <c r="D8" s="146">
        <v>9.2200000000000006</v>
      </c>
      <c r="E8" s="146">
        <f t="shared" si="0"/>
        <v>18.440000000000001</v>
      </c>
      <c r="F8" s="71"/>
    </row>
    <row r="9" spans="1:8" ht="15.75">
      <c r="A9" s="52">
        <v>1340</v>
      </c>
      <c r="B9" s="51">
        <v>2</v>
      </c>
      <c r="C9" s="50" t="s">
        <v>214</v>
      </c>
      <c r="D9" s="146">
        <v>49.24</v>
      </c>
      <c r="E9" s="146">
        <f t="shared" si="0"/>
        <v>98.48</v>
      </c>
      <c r="F9" s="71"/>
    </row>
    <row r="10" spans="1:8" ht="15.75">
      <c r="A10" s="52">
        <v>1455</v>
      </c>
      <c r="B10" s="51">
        <v>2</v>
      </c>
      <c r="C10" s="50" t="s">
        <v>223</v>
      </c>
      <c r="D10" s="146">
        <v>18.43</v>
      </c>
      <c r="E10" s="146">
        <f t="shared" si="0"/>
        <v>36.86</v>
      </c>
      <c r="F10" s="71"/>
    </row>
    <row r="11" spans="1:8" ht="15.75">
      <c r="A11" s="52">
        <v>1540</v>
      </c>
      <c r="B11" s="51">
        <v>2</v>
      </c>
      <c r="C11" s="50" t="s">
        <v>230</v>
      </c>
      <c r="D11" s="146">
        <v>54.21</v>
      </c>
      <c r="E11" s="146">
        <f t="shared" si="0"/>
        <v>108.42</v>
      </c>
      <c r="F11" s="71"/>
    </row>
    <row r="12" spans="1:8" ht="15.75">
      <c r="A12" s="52">
        <v>1774</v>
      </c>
      <c r="B12" s="51">
        <v>2</v>
      </c>
      <c r="C12" s="50" t="s">
        <v>253</v>
      </c>
      <c r="D12" s="146">
        <v>19.77</v>
      </c>
      <c r="E12" s="146">
        <f t="shared" si="0"/>
        <v>39.54</v>
      </c>
      <c r="F12" s="71"/>
    </row>
    <row r="13" spans="1:8" ht="15.75">
      <c r="A13" s="52">
        <v>106</v>
      </c>
      <c r="B13" s="51">
        <v>1</v>
      </c>
      <c r="C13" s="50" t="s">
        <v>26</v>
      </c>
      <c r="D13" s="146">
        <v>2.2999999999999998</v>
      </c>
      <c r="E13" s="146">
        <f t="shared" si="0"/>
        <v>2.2999999999999998</v>
      </c>
      <c r="F13" s="71"/>
    </row>
    <row r="14" spans="1:8" ht="15.75">
      <c r="A14" s="52">
        <v>9306</v>
      </c>
      <c r="B14" s="51">
        <v>2</v>
      </c>
      <c r="C14" s="50" t="s">
        <v>486</v>
      </c>
      <c r="D14" s="146">
        <v>45.2</v>
      </c>
      <c r="E14" s="146">
        <f t="shared" si="0"/>
        <v>90.4</v>
      </c>
      <c r="F14" s="71"/>
    </row>
    <row r="15" spans="1:8" ht="15.75">
      <c r="A15" s="52">
        <v>9358</v>
      </c>
      <c r="B15" s="51">
        <v>2</v>
      </c>
      <c r="C15" s="50" t="s">
        <v>487</v>
      </c>
      <c r="D15" s="146">
        <v>31.05</v>
      </c>
      <c r="E15" s="146">
        <f t="shared" si="0"/>
        <v>62.1</v>
      </c>
      <c r="F15" s="71"/>
    </row>
    <row r="16" spans="1:8" ht="15.75">
      <c r="A16" s="81"/>
      <c r="B16" s="80"/>
      <c r="C16" s="47"/>
      <c r="D16" s="147"/>
      <c r="E16" s="147"/>
      <c r="F16" s="48">
        <f>SUM(E3:F15)</f>
        <v>602.55000000000007</v>
      </c>
      <c r="H16" s="84"/>
    </row>
    <row r="17" spans="1:6" ht="15.75">
      <c r="A17" s="81"/>
      <c r="B17" s="94"/>
      <c r="C17" s="90"/>
      <c r="D17" s="156"/>
      <c r="E17" s="156"/>
      <c r="F17" s="89"/>
    </row>
    <row r="18" spans="1:6" ht="15.75">
      <c r="A18" s="82"/>
      <c r="B18" s="59" t="s">
        <v>121</v>
      </c>
      <c r="C18" s="57" t="s">
        <v>512</v>
      </c>
      <c r="D18" s="144"/>
      <c r="E18" s="144"/>
      <c r="F18" s="76"/>
    </row>
    <row r="19" spans="1:6" ht="15.75">
      <c r="A19" s="56" t="s">
        <v>91</v>
      </c>
      <c r="B19" s="55" t="s">
        <v>504</v>
      </c>
      <c r="C19" s="54" t="s">
        <v>133</v>
      </c>
      <c r="D19" s="145" t="s">
        <v>17</v>
      </c>
      <c r="E19" s="145" t="s">
        <v>503</v>
      </c>
      <c r="F19" s="53" t="s">
        <v>16</v>
      </c>
    </row>
    <row r="20" spans="1:6" ht="15.75">
      <c r="A20" s="52">
        <v>1002</v>
      </c>
      <c r="B20" s="51">
        <v>2</v>
      </c>
      <c r="C20" s="50" t="s">
        <v>176</v>
      </c>
      <c r="D20" s="146">
        <v>7.28</v>
      </c>
      <c r="E20" s="146">
        <f t="shared" ref="E20:E32" si="1">D20*B20</f>
        <v>14.56</v>
      </c>
      <c r="F20" s="71"/>
    </row>
    <row r="21" spans="1:6" ht="15.75">
      <c r="A21" s="52">
        <v>1104</v>
      </c>
      <c r="B21" s="51">
        <v>1</v>
      </c>
      <c r="C21" s="50" t="s">
        <v>77</v>
      </c>
      <c r="D21" s="146">
        <v>34.68</v>
      </c>
      <c r="E21" s="146">
        <f t="shared" si="1"/>
        <v>34.68</v>
      </c>
      <c r="F21" s="71"/>
    </row>
    <row r="22" spans="1:6" ht="15.75">
      <c r="A22" s="52">
        <v>1152</v>
      </c>
      <c r="B22" s="51">
        <v>1</v>
      </c>
      <c r="C22" s="50" t="s">
        <v>83</v>
      </c>
      <c r="D22" s="146">
        <v>9.2200000000000006</v>
      </c>
      <c r="E22" s="146">
        <f t="shared" si="1"/>
        <v>9.2200000000000006</v>
      </c>
      <c r="F22" s="71"/>
    </row>
    <row r="23" spans="1:6" ht="15.75">
      <c r="A23" s="52">
        <v>1253</v>
      </c>
      <c r="B23" s="51">
        <v>1</v>
      </c>
      <c r="C23" s="50" t="s">
        <v>88</v>
      </c>
      <c r="D23" s="146">
        <v>14.55</v>
      </c>
      <c r="E23" s="146">
        <f t="shared" si="1"/>
        <v>14.55</v>
      </c>
      <c r="F23" s="71"/>
    </row>
    <row r="24" spans="1:6" ht="15.75">
      <c r="A24" s="52">
        <v>1053</v>
      </c>
      <c r="B24" s="51">
        <v>1</v>
      </c>
      <c r="C24" s="50" t="s">
        <v>183</v>
      </c>
      <c r="D24" s="146">
        <v>14.55</v>
      </c>
      <c r="E24" s="146">
        <f t="shared" si="1"/>
        <v>14.55</v>
      </c>
      <c r="F24" s="71"/>
    </row>
    <row r="25" spans="1:6" ht="15.75">
      <c r="A25" s="52">
        <v>1251</v>
      </c>
      <c r="B25" s="51">
        <v>1</v>
      </c>
      <c r="C25" s="50" t="s">
        <v>87</v>
      </c>
      <c r="D25" s="146">
        <v>9.2200000000000006</v>
      </c>
      <c r="E25" s="146">
        <f t="shared" si="1"/>
        <v>9.2200000000000006</v>
      </c>
      <c r="F25" s="71"/>
    </row>
    <row r="26" spans="1:6" ht="15.75">
      <c r="A26" s="52">
        <v>1340</v>
      </c>
      <c r="B26" s="51">
        <v>1</v>
      </c>
      <c r="C26" s="50" t="s">
        <v>214</v>
      </c>
      <c r="D26" s="146">
        <v>49.24</v>
      </c>
      <c r="E26" s="146">
        <f t="shared" si="1"/>
        <v>49.24</v>
      </c>
      <c r="F26" s="71"/>
    </row>
    <row r="27" spans="1:6" ht="15.75">
      <c r="A27" s="52">
        <v>1455</v>
      </c>
      <c r="B27" s="51">
        <v>1</v>
      </c>
      <c r="C27" s="50" t="s">
        <v>223</v>
      </c>
      <c r="D27" s="146">
        <v>18.43</v>
      </c>
      <c r="E27" s="146">
        <f t="shared" si="1"/>
        <v>18.43</v>
      </c>
      <c r="F27" s="71"/>
    </row>
    <row r="28" spans="1:6" ht="15.75">
      <c r="A28" s="52">
        <v>1540</v>
      </c>
      <c r="B28" s="51">
        <v>1</v>
      </c>
      <c r="C28" s="50" t="s">
        <v>230</v>
      </c>
      <c r="D28" s="146">
        <v>54.21</v>
      </c>
      <c r="E28" s="146">
        <f t="shared" si="1"/>
        <v>54.21</v>
      </c>
      <c r="F28" s="71"/>
    </row>
    <row r="29" spans="1:6" ht="15.75">
      <c r="A29" s="52">
        <v>1774</v>
      </c>
      <c r="B29" s="51">
        <v>1</v>
      </c>
      <c r="C29" s="50" t="s">
        <v>253</v>
      </c>
      <c r="D29" s="146">
        <v>19.77</v>
      </c>
      <c r="E29" s="146">
        <f t="shared" si="1"/>
        <v>19.77</v>
      </c>
      <c r="F29" s="71"/>
    </row>
    <row r="30" spans="1:6" ht="15.75">
      <c r="A30" s="52">
        <v>106</v>
      </c>
      <c r="B30" s="51">
        <v>1</v>
      </c>
      <c r="C30" s="50" t="s">
        <v>26</v>
      </c>
      <c r="D30" s="146">
        <v>2.2999999999999998</v>
      </c>
      <c r="E30" s="146">
        <f t="shared" si="1"/>
        <v>2.2999999999999998</v>
      </c>
      <c r="F30" s="71"/>
    </row>
    <row r="31" spans="1:6" ht="15.75">
      <c r="A31" s="52">
        <v>9306</v>
      </c>
      <c r="B31" s="51">
        <v>1</v>
      </c>
      <c r="C31" s="50" t="s">
        <v>486</v>
      </c>
      <c r="D31" s="146">
        <v>45.2</v>
      </c>
      <c r="E31" s="146">
        <f t="shared" si="1"/>
        <v>45.2</v>
      </c>
      <c r="F31" s="71"/>
    </row>
    <row r="32" spans="1:6" ht="15.75">
      <c r="A32" s="52">
        <v>9358</v>
      </c>
      <c r="B32" s="51">
        <v>1</v>
      </c>
      <c r="C32" s="50" t="s">
        <v>487</v>
      </c>
      <c r="D32" s="146">
        <v>31.05</v>
      </c>
      <c r="E32" s="146">
        <f t="shared" si="1"/>
        <v>31.05</v>
      </c>
      <c r="F32" s="71"/>
    </row>
    <row r="33" spans="1:8" ht="15.75">
      <c r="A33" s="81"/>
      <c r="B33" s="80"/>
      <c r="C33" s="93"/>
      <c r="D33" s="157"/>
      <c r="E33" s="157"/>
      <c r="F33" s="92">
        <f>SUM(E20:F32)</f>
        <v>316.98000000000008</v>
      </c>
      <c r="H33" s="84"/>
    </row>
    <row r="34" spans="1:8" ht="15.75">
      <c r="A34" s="81"/>
      <c r="B34" s="91"/>
      <c r="C34" s="90"/>
      <c r="D34" s="156"/>
      <c r="E34" s="156"/>
      <c r="F34" s="89"/>
    </row>
    <row r="35" spans="1:8" ht="15.75">
      <c r="A35" s="82"/>
      <c r="B35" s="59" t="s">
        <v>122</v>
      </c>
      <c r="C35" s="88" t="s">
        <v>511</v>
      </c>
      <c r="D35" s="158"/>
      <c r="E35" s="158"/>
      <c r="F35" s="87"/>
    </row>
    <row r="36" spans="1:8" ht="15.75">
      <c r="A36" s="56" t="s">
        <v>91</v>
      </c>
      <c r="B36" s="55" t="s">
        <v>504</v>
      </c>
      <c r="C36" s="54" t="s">
        <v>133</v>
      </c>
      <c r="D36" s="145" t="s">
        <v>17</v>
      </c>
      <c r="E36" s="145" t="s">
        <v>503</v>
      </c>
      <c r="F36" s="53" t="s">
        <v>16</v>
      </c>
    </row>
    <row r="37" spans="1:8" ht="15.75">
      <c r="A37" s="52">
        <v>1002</v>
      </c>
      <c r="B37" s="51">
        <v>2</v>
      </c>
      <c r="C37" s="50" t="s">
        <v>176</v>
      </c>
      <c r="D37" s="146">
        <v>7.28</v>
      </c>
      <c r="E37" s="146">
        <f t="shared" ref="E37:E49" si="2">D37*B37</f>
        <v>14.56</v>
      </c>
      <c r="F37" s="71"/>
    </row>
    <row r="38" spans="1:8" ht="15.75">
      <c r="A38" s="52">
        <v>1104</v>
      </c>
      <c r="B38" s="51">
        <v>1</v>
      </c>
      <c r="C38" s="50" t="s">
        <v>77</v>
      </c>
      <c r="D38" s="146">
        <v>34.68</v>
      </c>
      <c r="E38" s="146">
        <f t="shared" si="2"/>
        <v>34.68</v>
      </c>
      <c r="F38" s="71"/>
    </row>
    <row r="39" spans="1:8" ht="15.75">
      <c r="A39" s="52">
        <v>1152</v>
      </c>
      <c r="B39" s="51">
        <v>1</v>
      </c>
      <c r="C39" s="50" t="s">
        <v>83</v>
      </c>
      <c r="D39" s="146">
        <v>9.2200000000000006</v>
      </c>
      <c r="E39" s="146">
        <f t="shared" si="2"/>
        <v>9.2200000000000006</v>
      </c>
      <c r="F39" s="71"/>
    </row>
    <row r="40" spans="1:8" ht="15.75">
      <c r="A40" s="52">
        <v>1253</v>
      </c>
      <c r="B40" s="51">
        <v>1</v>
      </c>
      <c r="C40" s="50" t="s">
        <v>88</v>
      </c>
      <c r="D40" s="146">
        <v>14.55</v>
      </c>
      <c r="E40" s="146">
        <f t="shared" si="2"/>
        <v>14.55</v>
      </c>
      <c r="F40" s="71"/>
    </row>
    <row r="41" spans="1:8" ht="15.75">
      <c r="A41" s="52">
        <v>1053</v>
      </c>
      <c r="B41" s="51">
        <v>1</v>
      </c>
      <c r="C41" s="50" t="s">
        <v>183</v>
      </c>
      <c r="D41" s="146">
        <v>14.55</v>
      </c>
      <c r="E41" s="146">
        <f t="shared" si="2"/>
        <v>14.55</v>
      </c>
      <c r="F41" s="71"/>
    </row>
    <row r="42" spans="1:8" ht="15.75">
      <c r="A42" s="52">
        <v>1251</v>
      </c>
      <c r="B42" s="51">
        <v>1</v>
      </c>
      <c r="C42" s="50" t="s">
        <v>87</v>
      </c>
      <c r="D42" s="146">
        <v>9.2200000000000006</v>
      </c>
      <c r="E42" s="146">
        <f t="shared" si="2"/>
        <v>9.2200000000000006</v>
      </c>
      <c r="F42" s="71"/>
    </row>
    <row r="43" spans="1:8" ht="15.75">
      <c r="A43" s="52">
        <v>1340</v>
      </c>
      <c r="B43" s="51">
        <v>1</v>
      </c>
      <c r="C43" s="50" t="s">
        <v>214</v>
      </c>
      <c r="D43" s="146">
        <v>49.24</v>
      </c>
      <c r="E43" s="146">
        <f t="shared" si="2"/>
        <v>49.24</v>
      </c>
      <c r="F43" s="71"/>
    </row>
    <row r="44" spans="1:8" ht="15.75">
      <c r="A44" s="52">
        <v>1455</v>
      </c>
      <c r="B44" s="51">
        <v>1</v>
      </c>
      <c r="C44" s="50" t="s">
        <v>223</v>
      </c>
      <c r="D44" s="146">
        <v>18.43</v>
      </c>
      <c r="E44" s="146">
        <f t="shared" si="2"/>
        <v>18.43</v>
      </c>
      <c r="F44" s="71"/>
    </row>
    <row r="45" spans="1:8" ht="15.75">
      <c r="A45" s="52">
        <v>1540</v>
      </c>
      <c r="B45" s="51">
        <v>1</v>
      </c>
      <c r="C45" s="50" t="s">
        <v>230</v>
      </c>
      <c r="D45" s="146">
        <v>54.21</v>
      </c>
      <c r="E45" s="146">
        <f t="shared" si="2"/>
        <v>54.21</v>
      </c>
      <c r="F45" s="71"/>
    </row>
    <row r="46" spans="1:8" ht="15.75">
      <c r="A46" s="52">
        <v>1774</v>
      </c>
      <c r="B46" s="51">
        <v>1</v>
      </c>
      <c r="C46" s="50" t="s">
        <v>253</v>
      </c>
      <c r="D46" s="146">
        <v>19.77</v>
      </c>
      <c r="E46" s="146">
        <f t="shared" si="2"/>
        <v>19.77</v>
      </c>
      <c r="F46" s="71"/>
    </row>
    <row r="47" spans="1:8" ht="15.75">
      <c r="A47" s="52">
        <v>106</v>
      </c>
      <c r="B47" s="51">
        <v>1</v>
      </c>
      <c r="C47" s="50" t="s">
        <v>26</v>
      </c>
      <c r="D47" s="146">
        <v>2.2999999999999998</v>
      </c>
      <c r="E47" s="146">
        <f t="shared" si="2"/>
        <v>2.2999999999999998</v>
      </c>
      <c r="F47" s="71"/>
    </row>
    <row r="48" spans="1:8" ht="15.75">
      <c r="A48" s="52">
        <v>9306</v>
      </c>
      <c r="B48" s="51">
        <v>1</v>
      </c>
      <c r="C48" s="50" t="s">
        <v>486</v>
      </c>
      <c r="D48" s="146">
        <v>45.2</v>
      </c>
      <c r="E48" s="146">
        <f t="shared" si="2"/>
        <v>45.2</v>
      </c>
      <c r="F48" s="71"/>
    </row>
    <row r="49" spans="1:8" ht="15.75">
      <c r="A49" s="52">
        <v>9358</v>
      </c>
      <c r="B49" s="51">
        <v>1</v>
      </c>
      <c r="C49" s="50" t="s">
        <v>487</v>
      </c>
      <c r="D49" s="146">
        <v>31.05</v>
      </c>
      <c r="E49" s="146">
        <f t="shared" si="2"/>
        <v>31.05</v>
      </c>
      <c r="F49" s="71"/>
    </row>
    <row r="50" spans="1:8" ht="15.75">
      <c r="A50" s="79"/>
      <c r="B50" s="49"/>
      <c r="C50" s="47"/>
      <c r="D50" s="147"/>
      <c r="E50" s="147"/>
      <c r="F50" s="48">
        <f>SUM(E36:E49)</f>
        <v>316.98000000000008</v>
      </c>
    </row>
    <row r="51" spans="1:8" ht="15.75">
      <c r="A51" s="86"/>
      <c r="F51" s="85"/>
    </row>
    <row r="52" spans="1:8" ht="15.75">
      <c r="A52" s="82"/>
      <c r="B52" s="59" t="s">
        <v>510</v>
      </c>
      <c r="C52" s="57" t="s">
        <v>509</v>
      </c>
      <c r="D52" s="144"/>
      <c r="E52" s="144"/>
      <c r="F52" s="76"/>
    </row>
    <row r="53" spans="1:8" ht="15.75">
      <c r="A53" s="56" t="s">
        <v>91</v>
      </c>
      <c r="B53" s="55" t="s">
        <v>504</v>
      </c>
      <c r="C53" s="54" t="s">
        <v>133</v>
      </c>
      <c r="D53" s="145" t="s">
        <v>17</v>
      </c>
      <c r="E53" s="145" t="s">
        <v>503</v>
      </c>
      <c r="F53" s="53" t="s">
        <v>16</v>
      </c>
    </row>
    <row r="54" spans="1:8" ht="15.75">
      <c r="A54" s="52">
        <v>1225</v>
      </c>
      <c r="B54" s="51">
        <v>1</v>
      </c>
      <c r="C54" s="50" t="s">
        <v>86</v>
      </c>
      <c r="D54" s="146">
        <v>21.95</v>
      </c>
      <c r="E54" s="146">
        <f>D54*B54</f>
        <v>21.95</v>
      </c>
      <c r="F54" s="71"/>
    </row>
    <row r="55" spans="1:8" ht="15.75">
      <c r="A55" s="52">
        <v>1202</v>
      </c>
      <c r="B55" s="51">
        <v>1</v>
      </c>
      <c r="C55" s="50" t="s">
        <v>85</v>
      </c>
      <c r="D55" s="146">
        <v>34.32</v>
      </c>
      <c r="E55" s="146">
        <f>D55*B55</f>
        <v>34.32</v>
      </c>
      <c r="F55" s="71"/>
    </row>
    <row r="56" spans="1:8" ht="15.75">
      <c r="A56" s="52">
        <v>1061</v>
      </c>
      <c r="B56" s="51">
        <v>1</v>
      </c>
      <c r="C56" s="50" t="s">
        <v>185</v>
      </c>
      <c r="D56" s="146">
        <v>28.98</v>
      </c>
      <c r="E56" s="146">
        <f>D56*B56</f>
        <v>28.98</v>
      </c>
      <c r="F56" s="71"/>
    </row>
    <row r="57" spans="1:8" ht="15.75">
      <c r="A57" s="52">
        <v>1410</v>
      </c>
      <c r="B57" s="51">
        <v>1</v>
      </c>
      <c r="C57" s="50" t="s">
        <v>221</v>
      </c>
      <c r="D57" s="146">
        <v>37.72</v>
      </c>
      <c r="E57" s="146">
        <f>D57*B57</f>
        <v>37.72</v>
      </c>
      <c r="F57" s="71"/>
    </row>
    <row r="58" spans="1:8" ht="15.75">
      <c r="A58" s="81"/>
      <c r="B58" s="80"/>
      <c r="C58" s="47"/>
      <c r="D58" s="147"/>
      <c r="E58" s="147"/>
      <c r="F58" s="48">
        <f>SUM(E54:F57)</f>
        <v>122.97</v>
      </c>
      <c r="H58" s="84"/>
    </row>
    <row r="59" spans="1:8" ht="15.75">
      <c r="A59" s="83"/>
    </row>
    <row r="60" spans="1:8" ht="15.75">
      <c r="A60" s="82"/>
      <c r="B60" s="77"/>
      <c r="C60" s="57" t="s">
        <v>508</v>
      </c>
      <c r="D60" s="144"/>
      <c r="E60" s="144"/>
      <c r="F60" s="76"/>
    </row>
    <row r="61" spans="1:8" ht="15.75">
      <c r="A61" s="56" t="s">
        <v>91</v>
      </c>
      <c r="B61" s="55" t="s">
        <v>504</v>
      </c>
      <c r="C61" s="54" t="s">
        <v>133</v>
      </c>
      <c r="D61" s="145" t="s">
        <v>17</v>
      </c>
      <c r="E61" s="145" t="s">
        <v>503</v>
      </c>
      <c r="F61" s="53" t="s">
        <v>16</v>
      </c>
    </row>
    <row r="62" spans="1:8" ht="15.75">
      <c r="A62" s="52">
        <v>1771</v>
      </c>
      <c r="B62" s="51">
        <v>1</v>
      </c>
      <c r="C62" s="50" t="s">
        <v>161</v>
      </c>
      <c r="D62" s="146">
        <v>91.04</v>
      </c>
      <c r="E62" s="146">
        <f>D62*B62</f>
        <v>91.04</v>
      </c>
      <c r="F62" s="71"/>
    </row>
    <row r="63" spans="1:8" ht="15.75">
      <c r="A63" s="81"/>
      <c r="B63" s="80"/>
      <c r="C63" s="47"/>
      <c r="D63" s="147"/>
      <c r="E63" s="147"/>
      <c r="F63" s="48">
        <f>SUM(E62:F62)</f>
        <v>91.04</v>
      </c>
    </row>
    <row r="64" spans="1:8" ht="15.75">
      <c r="A64" s="79"/>
    </row>
    <row r="65" spans="1:6" ht="15.75">
      <c r="A65" s="78"/>
      <c r="B65" s="77"/>
      <c r="C65" s="57" t="s">
        <v>507</v>
      </c>
      <c r="D65" s="144"/>
      <c r="E65" s="144"/>
      <c r="F65" s="76"/>
    </row>
    <row r="66" spans="1:6" ht="15.75">
      <c r="A66" s="75" t="s">
        <v>91</v>
      </c>
      <c r="B66" s="74" t="s">
        <v>504</v>
      </c>
      <c r="C66" s="67" t="s">
        <v>133</v>
      </c>
      <c r="D66" s="154" t="s">
        <v>17</v>
      </c>
      <c r="E66" s="154" t="s">
        <v>503</v>
      </c>
      <c r="F66" s="66" t="s">
        <v>16</v>
      </c>
    </row>
    <row r="67" spans="1:6">
      <c r="A67" s="73">
        <v>1768</v>
      </c>
      <c r="B67" s="65">
        <v>1</v>
      </c>
      <c r="C67" s="50" t="s">
        <v>160</v>
      </c>
      <c r="D67" s="146">
        <v>5.58</v>
      </c>
      <c r="E67" s="146">
        <f>PRODUCT(B67,D67)</f>
        <v>5.58</v>
      </c>
      <c r="F67" s="71"/>
    </row>
    <row r="68" spans="1:6">
      <c r="B68" s="49"/>
      <c r="C68" s="47"/>
      <c r="D68" s="147"/>
      <c r="E68" s="147"/>
      <c r="F68" s="70">
        <f>SUM(E67)</f>
        <v>5.58</v>
      </c>
    </row>
    <row r="70" spans="1:6">
      <c r="A70" s="57"/>
      <c r="B70" s="59"/>
      <c r="C70" s="57" t="s">
        <v>506</v>
      </c>
      <c r="D70" s="153"/>
      <c r="E70" s="153"/>
      <c r="F70" s="58"/>
    </row>
    <row r="71" spans="1:6" ht="15.75">
      <c r="A71" s="69" t="s">
        <v>91</v>
      </c>
      <c r="B71" s="68" t="s">
        <v>504</v>
      </c>
      <c r="C71" s="67" t="s">
        <v>133</v>
      </c>
      <c r="D71" s="154" t="s">
        <v>17</v>
      </c>
      <c r="E71" s="154" t="s">
        <v>503</v>
      </c>
      <c r="F71" s="66" t="s">
        <v>16</v>
      </c>
    </row>
    <row r="72" spans="1:6" ht="15.75">
      <c r="A72" s="52">
        <v>3207</v>
      </c>
      <c r="B72" s="65">
        <v>1</v>
      </c>
      <c r="C72" s="50" t="s">
        <v>366</v>
      </c>
      <c r="D72" s="146">
        <v>189.18</v>
      </c>
      <c r="E72" s="146">
        <f>D72*B72</f>
        <v>189.18</v>
      </c>
      <c r="F72" s="47"/>
    </row>
    <row r="73" spans="1:6" ht="15.75">
      <c r="A73" s="64"/>
      <c r="B73" s="63"/>
      <c r="C73" s="62"/>
      <c r="D73" s="155"/>
      <c r="E73" s="155"/>
      <c r="F73" s="48">
        <f>+SUM(D72)</f>
        <v>189.18</v>
      </c>
    </row>
    <row r="74" spans="1:6">
      <c r="A74" s="61"/>
      <c r="F74" s="44"/>
    </row>
    <row r="75" spans="1:6">
      <c r="A75" s="60"/>
      <c r="B75" s="59"/>
      <c r="C75" s="57" t="s">
        <v>505</v>
      </c>
      <c r="D75" s="153"/>
      <c r="E75" s="153"/>
      <c r="F75" s="57"/>
    </row>
    <row r="76" spans="1:6" ht="15.75">
      <c r="A76" s="56" t="s">
        <v>91</v>
      </c>
      <c r="B76" s="55" t="s">
        <v>504</v>
      </c>
      <c r="C76" s="54" t="s">
        <v>133</v>
      </c>
      <c r="D76" s="145" t="s">
        <v>17</v>
      </c>
      <c r="E76" s="145" t="s">
        <v>503</v>
      </c>
      <c r="F76" s="53" t="s">
        <v>16</v>
      </c>
    </row>
    <row r="77" spans="1:6" ht="15.75">
      <c r="A77" s="52">
        <v>3401</v>
      </c>
      <c r="B77" s="51">
        <v>1</v>
      </c>
      <c r="C77" s="50" t="s">
        <v>280</v>
      </c>
      <c r="D77" s="146">
        <v>57.36</v>
      </c>
      <c r="E77" s="146">
        <f>D77*B77</f>
        <v>57.36</v>
      </c>
      <c r="F77" s="47"/>
    </row>
    <row r="78" spans="1:6">
      <c r="B78" s="49"/>
      <c r="C78" s="47"/>
      <c r="D78" s="147"/>
      <c r="E78" s="147"/>
      <c r="F78" s="48">
        <f>+SUM(D77)</f>
        <v>57.36</v>
      </c>
    </row>
  </sheetData>
  <sheetProtection sheet="1" objects="1" scenarios="1"/>
  <phoneticPr fontId="26" type="noConversion"/>
  <pageMargins left="0.7" right="0.7" top="0.75" bottom="0.75" header="0.3" footer="0.3"/>
  <rowBreaks count="4" manualBreakCount="4">
    <brk id="17" max="16383" man="1"/>
    <brk id="34" max="16383" man="1"/>
    <brk id="51" max="5" man="1"/>
    <brk id="59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"/>
  <sheetViews>
    <sheetView topLeftCell="A45" workbookViewId="0">
      <selection activeCell="H119" sqref="H119"/>
    </sheetView>
  </sheetViews>
  <sheetFormatPr defaultColWidth="8.85546875" defaultRowHeight="15"/>
  <cols>
    <col min="1" max="1" width="6.85546875" style="95" customWidth="1"/>
    <col min="2" max="2" width="7" style="46" customWidth="1"/>
    <col min="3" max="3" width="94.28515625" style="44" customWidth="1"/>
    <col min="4" max="4" width="14.42578125" style="22" customWidth="1"/>
    <col min="5" max="5" width="17.140625" style="22" customWidth="1"/>
    <col min="6" max="6" width="10.7109375" style="45" customWidth="1"/>
    <col min="7" max="16384" width="8.85546875" style="44"/>
  </cols>
  <sheetData>
    <row r="1" spans="1:6">
      <c r="A1" s="129"/>
      <c r="B1" s="59" t="s">
        <v>541</v>
      </c>
      <c r="C1" s="57" t="s">
        <v>543</v>
      </c>
      <c r="D1" s="144"/>
      <c r="E1" s="144"/>
      <c r="F1" s="76"/>
    </row>
    <row r="2" spans="1:6">
      <c r="A2" s="98" t="s">
        <v>91</v>
      </c>
      <c r="B2" s="97" t="s">
        <v>504</v>
      </c>
      <c r="C2" s="54" t="s">
        <v>133</v>
      </c>
      <c r="D2" s="145" t="s">
        <v>17</v>
      </c>
      <c r="E2" s="145" t="s">
        <v>503</v>
      </c>
      <c r="F2" s="53" t="s">
        <v>16</v>
      </c>
    </row>
    <row r="3" spans="1:6">
      <c r="A3" s="73">
        <v>1002</v>
      </c>
      <c r="B3" s="65">
        <v>2</v>
      </c>
      <c r="C3" s="50" t="s">
        <v>176</v>
      </c>
      <c r="D3" s="146">
        <v>7.28</v>
      </c>
      <c r="E3" s="146">
        <f t="shared" ref="E3:E25" si="0">PRODUCT(B3,D3)</f>
        <v>14.56</v>
      </c>
      <c r="F3" s="71"/>
    </row>
    <row r="4" spans="1:6">
      <c r="A4" s="73">
        <v>1104</v>
      </c>
      <c r="B4" s="65">
        <v>1</v>
      </c>
      <c r="C4" s="50" t="s">
        <v>77</v>
      </c>
      <c r="D4" s="146">
        <v>34.68</v>
      </c>
      <c r="E4" s="146">
        <f t="shared" si="0"/>
        <v>34.68</v>
      </c>
      <c r="F4" s="71"/>
    </row>
    <row r="5" spans="1:6">
      <c r="A5" s="73">
        <v>1152</v>
      </c>
      <c r="B5" s="65">
        <v>1</v>
      </c>
      <c r="C5" s="50" t="s">
        <v>83</v>
      </c>
      <c r="D5" s="146">
        <v>9.2200000000000006</v>
      </c>
      <c r="E5" s="146">
        <f t="shared" si="0"/>
        <v>9.2200000000000006</v>
      </c>
      <c r="F5" s="71"/>
    </row>
    <row r="6" spans="1:6">
      <c r="A6" s="73">
        <v>6113</v>
      </c>
      <c r="B6" s="65">
        <v>1</v>
      </c>
      <c r="C6" s="50" t="s">
        <v>374</v>
      </c>
      <c r="D6" s="146">
        <v>46.33</v>
      </c>
      <c r="E6" s="146">
        <f t="shared" si="0"/>
        <v>46.33</v>
      </c>
      <c r="F6" s="71"/>
    </row>
    <row r="7" spans="1:6">
      <c r="A7" s="73">
        <v>6118</v>
      </c>
      <c r="B7" s="65">
        <v>2</v>
      </c>
      <c r="C7" s="50" t="s">
        <v>377</v>
      </c>
      <c r="D7" s="146">
        <v>6.18</v>
      </c>
      <c r="E7" s="146">
        <f t="shared" si="0"/>
        <v>12.36</v>
      </c>
      <c r="F7" s="71"/>
    </row>
    <row r="8" spans="1:6">
      <c r="A8" s="105">
        <v>9958</v>
      </c>
      <c r="B8" s="65">
        <v>2</v>
      </c>
      <c r="C8" s="50" t="s">
        <v>425</v>
      </c>
      <c r="D8" s="146">
        <v>18.899999999999999</v>
      </c>
      <c r="E8" s="146">
        <f t="shared" si="0"/>
        <v>37.799999999999997</v>
      </c>
      <c r="F8" s="71"/>
    </row>
    <row r="9" spans="1:6">
      <c r="A9" s="73">
        <v>6144</v>
      </c>
      <c r="B9" s="65">
        <v>1</v>
      </c>
      <c r="C9" s="50" t="s">
        <v>379</v>
      </c>
      <c r="D9" s="146">
        <v>19.04</v>
      </c>
      <c r="E9" s="146">
        <f t="shared" si="0"/>
        <v>19.04</v>
      </c>
      <c r="F9" s="71"/>
    </row>
    <row r="10" spans="1:6">
      <c r="A10" s="73">
        <v>1023</v>
      </c>
      <c r="B10" s="65">
        <v>1</v>
      </c>
      <c r="C10" s="50" t="s">
        <v>181</v>
      </c>
      <c r="D10" s="146">
        <v>36.5</v>
      </c>
      <c r="E10" s="146">
        <f t="shared" si="0"/>
        <v>36.5</v>
      </c>
      <c r="F10" s="71"/>
    </row>
    <row r="11" spans="1:6">
      <c r="A11" s="73">
        <v>1253</v>
      </c>
      <c r="B11" s="65">
        <v>1</v>
      </c>
      <c r="C11" s="50" t="s">
        <v>88</v>
      </c>
      <c r="D11" s="146">
        <v>14.55</v>
      </c>
      <c r="E11" s="146">
        <f t="shared" si="0"/>
        <v>14.55</v>
      </c>
      <c r="F11" s="71"/>
    </row>
    <row r="12" spans="1:6">
      <c r="A12" s="73">
        <v>1053</v>
      </c>
      <c r="B12" s="65">
        <v>1</v>
      </c>
      <c r="C12" s="50" t="s">
        <v>183</v>
      </c>
      <c r="D12" s="146">
        <v>14.55</v>
      </c>
      <c r="E12" s="146">
        <f t="shared" si="0"/>
        <v>14.55</v>
      </c>
      <c r="F12" s="71"/>
    </row>
    <row r="13" spans="1:6">
      <c r="A13" s="73">
        <v>1251</v>
      </c>
      <c r="B13" s="65">
        <v>2</v>
      </c>
      <c r="C13" s="50" t="s">
        <v>87</v>
      </c>
      <c r="D13" s="146">
        <v>9.2200000000000006</v>
      </c>
      <c r="E13" s="146">
        <f t="shared" si="0"/>
        <v>18.440000000000001</v>
      </c>
      <c r="F13" s="71"/>
    </row>
    <row r="14" spans="1:6">
      <c r="A14" s="73">
        <v>1340</v>
      </c>
      <c r="B14" s="65">
        <v>1</v>
      </c>
      <c r="C14" s="50" t="s">
        <v>214</v>
      </c>
      <c r="D14" s="146">
        <v>49.24</v>
      </c>
      <c r="E14" s="146">
        <f t="shared" si="0"/>
        <v>49.24</v>
      </c>
      <c r="F14" s="71"/>
    </row>
    <row r="15" spans="1:6">
      <c r="A15" s="73">
        <v>6161</v>
      </c>
      <c r="B15" s="65">
        <v>1</v>
      </c>
      <c r="C15" s="50" t="s">
        <v>382</v>
      </c>
      <c r="D15" s="146">
        <v>147.34</v>
      </c>
      <c r="E15" s="146">
        <f t="shared" si="0"/>
        <v>147.34</v>
      </c>
      <c r="F15" s="71"/>
    </row>
    <row r="16" spans="1:6">
      <c r="A16" s="73">
        <v>1455</v>
      </c>
      <c r="B16" s="65">
        <v>2</v>
      </c>
      <c r="C16" s="50" t="s">
        <v>223</v>
      </c>
      <c r="D16" s="146">
        <v>18.43</v>
      </c>
      <c r="E16" s="146">
        <f t="shared" si="0"/>
        <v>36.86</v>
      </c>
      <c r="F16" s="71"/>
    </row>
    <row r="17" spans="1:6">
      <c r="A17" s="73">
        <v>6951</v>
      </c>
      <c r="B17" s="65">
        <v>2</v>
      </c>
      <c r="C17" s="50" t="s">
        <v>480</v>
      </c>
      <c r="D17" s="146">
        <v>27.04</v>
      </c>
      <c r="E17" s="146">
        <f t="shared" si="0"/>
        <v>54.08</v>
      </c>
      <c r="F17" s="71"/>
    </row>
    <row r="18" spans="1:6">
      <c r="A18" s="73">
        <v>1951</v>
      </c>
      <c r="B18" s="65">
        <v>2</v>
      </c>
      <c r="C18" s="50" t="s">
        <v>188</v>
      </c>
      <c r="D18" s="146">
        <v>27.04</v>
      </c>
      <c r="E18" s="146">
        <f t="shared" si="0"/>
        <v>54.08</v>
      </c>
      <c r="F18" s="71"/>
    </row>
    <row r="19" spans="1:6">
      <c r="A19" s="115">
        <v>9960</v>
      </c>
      <c r="B19" s="65">
        <v>2</v>
      </c>
      <c r="C19" s="50" t="s">
        <v>428</v>
      </c>
      <c r="D19" s="146">
        <v>82.75</v>
      </c>
      <c r="E19" s="146">
        <f t="shared" si="0"/>
        <v>165.5</v>
      </c>
      <c r="F19" s="71"/>
    </row>
    <row r="20" spans="1:6">
      <c r="A20" s="73">
        <v>1540</v>
      </c>
      <c r="B20" s="65">
        <v>1</v>
      </c>
      <c r="C20" s="50" t="s">
        <v>230</v>
      </c>
      <c r="D20" s="146">
        <v>54.21</v>
      </c>
      <c r="E20" s="146">
        <f t="shared" si="0"/>
        <v>54.21</v>
      </c>
      <c r="F20" s="71"/>
    </row>
    <row r="21" spans="1:6">
      <c r="A21" s="105">
        <v>6490</v>
      </c>
      <c r="B21" s="65">
        <v>2</v>
      </c>
      <c r="C21" s="50" t="s">
        <v>478</v>
      </c>
      <c r="D21" s="146">
        <v>73.73</v>
      </c>
      <c r="E21" s="146">
        <f t="shared" si="0"/>
        <v>147.46</v>
      </c>
      <c r="F21" s="71"/>
    </row>
    <row r="22" spans="1:6">
      <c r="A22" s="73">
        <v>1774</v>
      </c>
      <c r="B22" s="65">
        <v>2</v>
      </c>
      <c r="C22" s="50" t="s">
        <v>253</v>
      </c>
      <c r="D22" s="146">
        <v>19.77</v>
      </c>
      <c r="E22" s="146">
        <f t="shared" si="0"/>
        <v>39.54</v>
      </c>
      <c r="F22" s="71"/>
    </row>
    <row r="23" spans="1:6">
      <c r="A23" s="105">
        <v>106</v>
      </c>
      <c r="B23" s="65">
        <v>1</v>
      </c>
      <c r="C23" s="50" t="s">
        <v>26</v>
      </c>
      <c r="D23" s="146">
        <v>2.2999999999999998</v>
      </c>
      <c r="E23" s="146">
        <f t="shared" si="0"/>
        <v>2.2999999999999998</v>
      </c>
      <c r="F23" s="71"/>
    </row>
    <row r="24" spans="1:6">
      <c r="A24" s="73">
        <v>9306</v>
      </c>
      <c r="B24" s="65">
        <v>2</v>
      </c>
      <c r="C24" s="50" t="s">
        <v>486</v>
      </c>
      <c r="D24" s="146">
        <v>45.2</v>
      </c>
      <c r="E24" s="146">
        <f t="shared" si="0"/>
        <v>90.4</v>
      </c>
      <c r="F24" s="71"/>
    </row>
    <row r="25" spans="1:6">
      <c r="A25" s="73">
        <v>9358</v>
      </c>
      <c r="B25" s="65">
        <v>2</v>
      </c>
      <c r="C25" s="50" t="s">
        <v>487</v>
      </c>
      <c r="D25" s="146">
        <v>31.05</v>
      </c>
      <c r="E25" s="146">
        <f t="shared" si="0"/>
        <v>62.1</v>
      </c>
      <c r="F25" s="71"/>
    </row>
    <row r="26" spans="1:6">
      <c r="A26" s="96"/>
      <c r="B26" s="49"/>
      <c r="C26" s="47"/>
      <c r="D26" s="147"/>
      <c r="E26" s="147"/>
      <c r="F26" s="70">
        <f>SUM(E3:F25)</f>
        <v>1161.1400000000001</v>
      </c>
    </row>
    <row r="27" spans="1:6">
      <c r="A27" s="96"/>
      <c r="B27" s="103"/>
      <c r="C27" s="113"/>
      <c r="D27" s="148"/>
      <c r="E27" s="148"/>
      <c r="F27" s="135"/>
    </row>
    <row r="28" spans="1:6">
      <c r="A28" s="117"/>
      <c r="B28" s="59" t="s">
        <v>541</v>
      </c>
      <c r="C28" s="116" t="s">
        <v>542</v>
      </c>
      <c r="D28" s="149"/>
      <c r="E28" s="149"/>
      <c r="F28" s="99"/>
    </row>
    <row r="29" spans="1:6">
      <c r="A29" s="134" t="s">
        <v>91</v>
      </c>
      <c r="B29" s="133" t="s">
        <v>504</v>
      </c>
      <c r="C29" s="132" t="s">
        <v>133</v>
      </c>
      <c r="D29" s="150" t="s">
        <v>17</v>
      </c>
      <c r="E29" s="150" t="s">
        <v>503</v>
      </c>
      <c r="F29" s="131" t="s">
        <v>16</v>
      </c>
    </row>
    <row r="30" spans="1:6">
      <c r="A30" s="73">
        <v>1002</v>
      </c>
      <c r="B30" s="65">
        <v>2</v>
      </c>
      <c r="C30" s="50" t="s">
        <v>176</v>
      </c>
      <c r="D30" s="146">
        <v>7.28</v>
      </c>
      <c r="E30" s="146">
        <f t="shared" ref="E30:E52" si="1">PRODUCT(B30,D30)</f>
        <v>14.56</v>
      </c>
      <c r="F30" s="71"/>
    </row>
    <row r="31" spans="1:6">
      <c r="A31" s="73">
        <v>1104</v>
      </c>
      <c r="B31" s="65">
        <v>1</v>
      </c>
      <c r="C31" s="50" t="s">
        <v>77</v>
      </c>
      <c r="D31" s="146">
        <v>34.68</v>
      </c>
      <c r="E31" s="146">
        <f t="shared" si="1"/>
        <v>34.68</v>
      </c>
      <c r="F31" s="71"/>
    </row>
    <row r="32" spans="1:6">
      <c r="A32" s="73">
        <v>1152</v>
      </c>
      <c r="B32" s="65">
        <v>1</v>
      </c>
      <c r="C32" s="50" t="s">
        <v>83</v>
      </c>
      <c r="D32" s="146">
        <v>9.2200000000000006</v>
      </c>
      <c r="E32" s="146">
        <f t="shared" si="1"/>
        <v>9.2200000000000006</v>
      </c>
      <c r="F32" s="71"/>
    </row>
    <row r="33" spans="1:6">
      <c r="A33" s="73">
        <v>6113</v>
      </c>
      <c r="B33" s="65">
        <v>1</v>
      </c>
      <c r="C33" s="50" t="s">
        <v>374</v>
      </c>
      <c r="D33" s="146">
        <v>46.33</v>
      </c>
      <c r="E33" s="146">
        <f t="shared" si="1"/>
        <v>46.33</v>
      </c>
      <c r="F33" s="71"/>
    </row>
    <row r="34" spans="1:6">
      <c r="A34" s="73">
        <v>6118</v>
      </c>
      <c r="B34" s="65">
        <v>3</v>
      </c>
      <c r="C34" s="50" t="s">
        <v>377</v>
      </c>
      <c r="D34" s="146">
        <v>6.18</v>
      </c>
      <c r="E34" s="146">
        <f t="shared" si="1"/>
        <v>18.54</v>
      </c>
      <c r="F34" s="71"/>
    </row>
    <row r="35" spans="1:6">
      <c r="A35" s="105">
        <v>9958</v>
      </c>
      <c r="B35" s="65">
        <v>3</v>
      </c>
      <c r="C35" s="50" t="s">
        <v>425</v>
      </c>
      <c r="D35" s="146">
        <v>18.899999999999999</v>
      </c>
      <c r="E35" s="146">
        <f t="shared" si="1"/>
        <v>56.699999999999996</v>
      </c>
      <c r="F35" s="71"/>
    </row>
    <row r="36" spans="1:6">
      <c r="A36" s="73">
        <v>6144</v>
      </c>
      <c r="B36" s="65">
        <v>1</v>
      </c>
      <c r="C36" s="50" t="s">
        <v>379</v>
      </c>
      <c r="D36" s="146">
        <v>19.04</v>
      </c>
      <c r="E36" s="146">
        <f t="shared" si="1"/>
        <v>19.04</v>
      </c>
      <c r="F36" s="71"/>
    </row>
    <row r="37" spans="1:6">
      <c r="A37" s="73">
        <v>1023</v>
      </c>
      <c r="B37" s="65">
        <v>1</v>
      </c>
      <c r="C37" s="50" t="s">
        <v>181</v>
      </c>
      <c r="D37" s="146">
        <v>36.5</v>
      </c>
      <c r="E37" s="146">
        <f t="shared" si="1"/>
        <v>36.5</v>
      </c>
      <c r="F37" s="71"/>
    </row>
    <row r="38" spans="1:6">
      <c r="A38" s="73">
        <v>1253</v>
      </c>
      <c r="B38" s="65">
        <v>1</v>
      </c>
      <c r="C38" s="50" t="s">
        <v>88</v>
      </c>
      <c r="D38" s="146">
        <v>14.55</v>
      </c>
      <c r="E38" s="146">
        <f t="shared" si="1"/>
        <v>14.55</v>
      </c>
      <c r="F38" s="71"/>
    </row>
    <row r="39" spans="1:6">
      <c r="A39" s="73">
        <v>1053</v>
      </c>
      <c r="B39" s="65">
        <v>1</v>
      </c>
      <c r="C39" s="50" t="s">
        <v>183</v>
      </c>
      <c r="D39" s="146">
        <v>14.55</v>
      </c>
      <c r="E39" s="146">
        <f t="shared" si="1"/>
        <v>14.55</v>
      </c>
      <c r="F39" s="71"/>
    </row>
    <row r="40" spans="1:6">
      <c r="A40" s="73">
        <v>1251</v>
      </c>
      <c r="B40" s="65">
        <v>2</v>
      </c>
      <c r="C40" s="50" t="s">
        <v>87</v>
      </c>
      <c r="D40" s="146">
        <v>9.2200000000000006</v>
      </c>
      <c r="E40" s="146">
        <f t="shared" si="1"/>
        <v>18.440000000000001</v>
      </c>
      <c r="F40" s="71"/>
    </row>
    <row r="41" spans="1:6">
      <c r="A41" s="73">
        <v>1340</v>
      </c>
      <c r="B41" s="65">
        <v>1</v>
      </c>
      <c r="C41" s="50" t="s">
        <v>214</v>
      </c>
      <c r="D41" s="146">
        <v>49.24</v>
      </c>
      <c r="E41" s="146">
        <f t="shared" si="1"/>
        <v>49.24</v>
      </c>
      <c r="F41" s="71"/>
    </row>
    <row r="42" spans="1:6">
      <c r="A42" s="73">
        <v>6161</v>
      </c>
      <c r="B42" s="65">
        <v>1</v>
      </c>
      <c r="C42" s="50" t="s">
        <v>382</v>
      </c>
      <c r="D42" s="146">
        <v>147.34</v>
      </c>
      <c r="E42" s="146">
        <f t="shared" si="1"/>
        <v>147.34</v>
      </c>
      <c r="F42" s="71"/>
    </row>
    <row r="43" spans="1:6">
      <c r="A43" s="73">
        <v>1455</v>
      </c>
      <c r="B43" s="65">
        <v>2</v>
      </c>
      <c r="C43" s="50" t="s">
        <v>223</v>
      </c>
      <c r="D43" s="146">
        <v>18.43</v>
      </c>
      <c r="E43" s="146">
        <f t="shared" si="1"/>
        <v>36.86</v>
      </c>
      <c r="F43" s="71"/>
    </row>
    <row r="44" spans="1:6">
      <c r="A44" s="73">
        <v>6951</v>
      </c>
      <c r="B44" s="65">
        <v>3</v>
      </c>
      <c r="C44" s="50" t="s">
        <v>480</v>
      </c>
      <c r="D44" s="146">
        <v>27.04</v>
      </c>
      <c r="E44" s="146">
        <f t="shared" si="1"/>
        <v>81.12</v>
      </c>
      <c r="F44" s="71"/>
    </row>
    <row r="45" spans="1:6">
      <c r="A45" s="73">
        <v>1951</v>
      </c>
      <c r="B45" s="65">
        <v>3</v>
      </c>
      <c r="C45" s="50" t="s">
        <v>188</v>
      </c>
      <c r="D45" s="146">
        <v>27.04</v>
      </c>
      <c r="E45" s="146">
        <f t="shared" si="1"/>
        <v>81.12</v>
      </c>
      <c r="F45" s="71"/>
    </row>
    <row r="46" spans="1:6">
      <c r="A46" s="115">
        <v>9960</v>
      </c>
      <c r="B46" s="65">
        <v>3</v>
      </c>
      <c r="C46" s="50" t="s">
        <v>428</v>
      </c>
      <c r="D46" s="146">
        <v>82.75</v>
      </c>
      <c r="E46" s="146">
        <f t="shared" si="1"/>
        <v>248.25</v>
      </c>
      <c r="F46" s="71"/>
    </row>
    <row r="47" spans="1:6">
      <c r="A47" s="73">
        <v>1540</v>
      </c>
      <c r="B47" s="65">
        <v>1</v>
      </c>
      <c r="C47" s="50" t="s">
        <v>230</v>
      </c>
      <c r="D47" s="146">
        <v>54.21</v>
      </c>
      <c r="E47" s="146">
        <f t="shared" si="1"/>
        <v>54.21</v>
      </c>
      <c r="F47" s="71"/>
    </row>
    <row r="48" spans="1:6">
      <c r="A48" s="73">
        <v>6490</v>
      </c>
      <c r="B48" s="65">
        <v>3</v>
      </c>
      <c r="C48" s="50" t="s">
        <v>478</v>
      </c>
      <c r="D48" s="146">
        <v>73.73</v>
      </c>
      <c r="E48" s="146">
        <f t="shared" si="1"/>
        <v>221.19</v>
      </c>
      <c r="F48" s="71"/>
    </row>
    <row r="49" spans="1:6">
      <c r="A49" s="73">
        <v>1774</v>
      </c>
      <c r="B49" s="65">
        <v>2</v>
      </c>
      <c r="C49" s="50" t="s">
        <v>253</v>
      </c>
      <c r="D49" s="146">
        <v>19.77</v>
      </c>
      <c r="E49" s="146">
        <f t="shared" si="1"/>
        <v>39.54</v>
      </c>
      <c r="F49" s="71"/>
    </row>
    <row r="50" spans="1:6">
      <c r="A50" s="105">
        <v>106</v>
      </c>
      <c r="B50" s="65">
        <v>1</v>
      </c>
      <c r="C50" s="50" t="s">
        <v>26</v>
      </c>
      <c r="D50" s="146">
        <v>2.2999999999999998</v>
      </c>
      <c r="E50" s="146">
        <f t="shared" si="1"/>
        <v>2.2999999999999998</v>
      </c>
      <c r="F50" s="71"/>
    </row>
    <row r="51" spans="1:6">
      <c r="A51" s="73">
        <v>9306</v>
      </c>
      <c r="B51" s="65">
        <v>2</v>
      </c>
      <c r="C51" s="50" t="s">
        <v>486</v>
      </c>
      <c r="D51" s="146">
        <v>45.2</v>
      </c>
      <c r="E51" s="146">
        <f t="shared" si="1"/>
        <v>90.4</v>
      </c>
      <c r="F51" s="71"/>
    </row>
    <row r="52" spans="1:6">
      <c r="A52" s="73">
        <v>9358</v>
      </c>
      <c r="B52" s="65">
        <v>2</v>
      </c>
      <c r="C52" s="50" t="s">
        <v>487</v>
      </c>
      <c r="D52" s="146">
        <v>31.05</v>
      </c>
      <c r="E52" s="146">
        <f t="shared" si="1"/>
        <v>62.1</v>
      </c>
      <c r="F52" s="71"/>
    </row>
    <row r="53" spans="1:6">
      <c r="A53" s="96"/>
      <c r="B53" s="49"/>
      <c r="C53" s="47"/>
      <c r="D53" s="147"/>
      <c r="E53" s="147"/>
      <c r="F53" s="70">
        <f>SUM(E30:F52)</f>
        <v>1396.78</v>
      </c>
    </row>
    <row r="54" spans="1:6">
      <c r="A54" s="130"/>
      <c r="B54" s="103"/>
      <c r="C54" s="113"/>
      <c r="D54" s="148"/>
      <c r="E54" s="148"/>
      <c r="F54" s="89"/>
    </row>
    <row r="55" spans="1:6">
      <c r="A55" s="129"/>
      <c r="B55" s="128" t="s">
        <v>541</v>
      </c>
      <c r="C55" s="127" t="s">
        <v>540</v>
      </c>
      <c r="D55" s="151"/>
      <c r="E55" s="151"/>
      <c r="F55" s="126"/>
    </row>
    <row r="56" spans="1:6">
      <c r="A56" s="98" t="s">
        <v>91</v>
      </c>
      <c r="B56" s="97" t="s">
        <v>504</v>
      </c>
      <c r="C56" s="54" t="s">
        <v>133</v>
      </c>
      <c r="D56" s="145" t="s">
        <v>17</v>
      </c>
      <c r="E56" s="145" t="s">
        <v>503</v>
      </c>
      <c r="F56" s="53" t="s">
        <v>16</v>
      </c>
    </row>
    <row r="57" spans="1:6">
      <c r="A57" s="73">
        <v>1002</v>
      </c>
      <c r="B57" s="65">
        <v>2</v>
      </c>
      <c r="C57" s="50" t="s">
        <v>176</v>
      </c>
      <c r="D57" s="146">
        <v>7.28</v>
      </c>
      <c r="E57" s="146">
        <f t="shared" ref="E57:E79" si="2">PRODUCT(B57,D57)</f>
        <v>14.56</v>
      </c>
      <c r="F57" s="71"/>
    </row>
    <row r="58" spans="1:6">
      <c r="A58" s="73">
        <v>1104</v>
      </c>
      <c r="B58" s="65">
        <v>1</v>
      </c>
      <c r="C58" s="50" t="s">
        <v>77</v>
      </c>
      <c r="D58" s="146">
        <v>34.68</v>
      </c>
      <c r="E58" s="146">
        <f t="shared" si="2"/>
        <v>34.68</v>
      </c>
      <c r="F58" s="71"/>
    </row>
    <row r="59" spans="1:6">
      <c r="A59" s="73">
        <v>1152</v>
      </c>
      <c r="B59" s="65">
        <v>1</v>
      </c>
      <c r="C59" s="50" t="s">
        <v>83</v>
      </c>
      <c r="D59" s="146">
        <v>9.2200000000000006</v>
      </c>
      <c r="E59" s="146">
        <f t="shared" si="2"/>
        <v>9.2200000000000006</v>
      </c>
      <c r="F59" s="71"/>
    </row>
    <row r="60" spans="1:6">
      <c r="A60" s="73">
        <v>6113</v>
      </c>
      <c r="B60" s="65">
        <v>1</v>
      </c>
      <c r="C60" s="50" t="s">
        <v>374</v>
      </c>
      <c r="D60" s="146">
        <v>46.33</v>
      </c>
      <c r="E60" s="146">
        <f t="shared" si="2"/>
        <v>46.33</v>
      </c>
      <c r="F60" s="71"/>
    </row>
    <row r="61" spans="1:6">
      <c r="A61" s="73">
        <v>6118</v>
      </c>
      <c r="B61" s="65">
        <v>4</v>
      </c>
      <c r="C61" s="50" t="s">
        <v>377</v>
      </c>
      <c r="D61" s="146">
        <v>6.18</v>
      </c>
      <c r="E61" s="146">
        <f t="shared" si="2"/>
        <v>24.72</v>
      </c>
      <c r="F61" s="71"/>
    </row>
    <row r="62" spans="1:6">
      <c r="A62" s="105">
        <v>9958</v>
      </c>
      <c r="B62" s="65">
        <v>4</v>
      </c>
      <c r="C62" s="50" t="s">
        <v>425</v>
      </c>
      <c r="D62" s="146">
        <v>18.899999999999999</v>
      </c>
      <c r="E62" s="146">
        <f t="shared" si="2"/>
        <v>75.599999999999994</v>
      </c>
      <c r="F62" s="71"/>
    </row>
    <row r="63" spans="1:6">
      <c r="A63" s="73">
        <v>6144</v>
      </c>
      <c r="B63" s="65">
        <v>1</v>
      </c>
      <c r="C63" s="50" t="s">
        <v>379</v>
      </c>
      <c r="D63" s="146">
        <v>19.04</v>
      </c>
      <c r="E63" s="146">
        <f t="shared" si="2"/>
        <v>19.04</v>
      </c>
      <c r="F63" s="71"/>
    </row>
    <row r="64" spans="1:6">
      <c r="A64" s="73">
        <v>1023</v>
      </c>
      <c r="B64" s="65">
        <v>1</v>
      </c>
      <c r="C64" s="50" t="s">
        <v>181</v>
      </c>
      <c r="D64" s="146">
        <v>36.5</v>
      </c>
      <c r="E64" s="146">
        <f t="shared" si="2"/>
        <v>36.5</v>
      </c>
      <c r="F64" s="71"/>
    </row>
    <row r="65" spans="1:6">
      <c r="A65" s="73">
        <v>1253</v>
      </c>
      <c r="B65" s="65">
        <v>1</v>
      </c>
      <c r="C65" s="50" t="s">
        <v>88</v>
      </c>
      <c r="D65" s="146">
        <v>14.55</v>
      </c>
      <c r="E65" s="146">
        <f t="shared" si="2"/>
        <v>14.55</v>
      </c>
      <c r="F65" s="71"/>
    </row>
    <row r="66" spans="1:6">
      <c r="A66" s="73">
        <v>1053</v>
      </c>
      <c r="B66" s="65">
        <v>1</v>
      </c>
      <c r="C66" s="50" t="s">
        <v>183</v>
      </c>
      <c r="D66" s="146">
        <v>14.55</v>
      </c>
      <c r="E66" s="146">
        <f t="shared" si="2"/>
        <v>14.55</v>
      </c>
      <c r="F66" s="71"/>
    </row>
    <row r="67" spans="1:6">
      <c r="A67" s="73">
        <v>1251</v>
      </c>
      <c r="B67" s="65">
        <v>2</v>
      </c>
      <c r="C67" s="50" t="s">
        <v>87</v>
      </c>
      <c r="D67" s="146">
        <v>9.2200000000000006</v>
      </c>
      <c r="E67" s="146">
        <f t="shared" si="2"/>
        <v>18.440000000000001</v>
      </c>
      <c r="F67" s="71"/>
    </row>
    <row r="68" spans="1:6">
      <c r="A68" s="73">
        <v>1340</v>
      </c>
      <c r="B68" s="65">
        <v>1</v>
      </c>
      <c r="C68" s="50" t="s">
        <v>214</v>
      </c>
      <c r="D68" s="146">
        <v>49.24</v>
      </c>
      <c r="E68" s="146">
        <f t="shared" si="2"/>
        <v>49.24</v>
      </c>
      <c r="F68" s="71"/>
    </row>
    <row r="69" spans="1:6">
      <c r="A69" s="73">
        <v>6161</v>
      </c>
      <c r="B69" s="65">
        <v>1</v>
      </c>
      <c r="C69" s="50" t="s">
        <v>382</v>
      </c>
      <c r="D69" s="146">
        <v>147.34</v>
      </c>
      <c r="E69" s="146">
        <f t="shared" si="2"/>
        <v>147.34</v>
      </c>
      <c r="F69" s="71"/>
    </row>
    <row r="70" spans="1:6">
      <c r="A70" s="73">
        <v>1455</v>
      </c>
      <c r="B70" s="65">
        <v>2</v>
      </c>
      <c r="C70" s="50" t="s">
        <v>223</v>
      </c>
      <c r="D70" s="146">
        <v>18.43</v>
      </c>
      <c r="E70" s="146">
        <f t="shared" si="2"/>
        <v>36.86</v>
      </c>
      <c r="F70" s="71"/>
    </row>
    <row r="71" spans="1:6">
      <c r="A71" s="73">
        <v>6951</v>
      </c>
      <c r="B71" s="65">
        <v>4</v>
      </c>
      <c r="C71" s="50" t="s">
        <v>480</v>
      </c>
      <c r="D71" s="146">
        <v>27.04</v>
      </c>
      <c r="E71" s="146">
        <f t="shared" si="2"/>
        <v>108.16</v>
      </c>
      <c r="F71" s="71"/>
    </row>
    <row r="72" spans="1:6">
      <c r="A72" s="73">
        <v>1951</v>
      </c>
      <c r="B72" s="65">
        <v>4</v>
      </c>
      <c r="C72" s="50" t="s">
        <v>188</v>
      </c>
      <c r="D72" s="146">
        <v>27.04</v>
      </c>
      <c r="E72" s="146">
        <f t="shared" si="2"/>
        <v>108.16</v>
      </c>
      <c r="F72" s="71"/>
    </row>
    <row r="73" spans="1:6">
      <c r="A73" s="115">
        <v>9960</v>
      </c>
      <c r="B73" s="65">
        <v>4</v>
      </c>
      <c r="C73" s="50" t="s">
        <v>428</v>
      </c>
      <c r="D73" s="146">
        <v>82.75</v>
      </c>
      <c r="E73" s="146">
        <f t="shared" si="2"/>
        <v>331</v>
      </c>
      <c r="F73" s="71"/>
    </row>
    <row r="74" spans="1:6">
      <c r="A74" s="73">
        <v>1540</v>
      </c>
      <c r="B74" s="65">
        <v>1</v>
      </c>
      <c r="C74" s="50" t="s">
        <v>230</v>
      </c>
      <c r="D74" s="146">
        <v>54.21</v>
      </c>
      <c r="E74" s="146">
        <f t="shared" si="2"/>
        <v>54.21</v>
      </c>
      <c r="F74" s="71"/>
    </row>
    <row r="75" spans="1:6">
      <c r="A75" s="73">
        <v>6490</v>
      </c>
      <c r="B75" s="65">
        <v>4</v>
      </c>
      <c r="C75" s="50" t="s">
        <v>478</v>
      </c>
      <c r="D75" s="146">
        <v>73.73</v>
      </c>
      <c r="E75" s="146">
        <f t="shared" si="2"/>
        <v>294.92</v>
      </c>
      <c r="F75" s="71"/>
    </row>
    <row r="76" spans="1:6">
      <c r="A76" s="73">
        <v>1774</v>
      </c>
      <c r="B76" s="65">
        <v>2</v>
      </c>
      <c r="C76" s="50" t="s">
        <v>253</v>
      </c>
      <c r="D76" s="146">
        <v>19.77</v>
      </c>
      <c r="E76" s="146">
        <f t="shared" si="2"/>
        <v>39.54</v>
      </c>
      <c r="F76" s="71"/>
    </row>
    <row r="77" spans="1:6">
      <c r="A77" s="105">
        <v>106</v>
      </c>
      <c r="B77" s="65">
        <v>1</v>
      </c>
      <c r="C77" s="50" t="s">
        <v>26</v>
      </c>
      <c r="D77" s="146">
        <v>2.2999999999999998</v>
      </c>
      <c r="E77" s="146">
        <f t="shared" si="2"/>
        <v>2.2999999999999998</v>
      </c>
      <c r="F77" s="71"/>
    </row>
    <row r="78" spans="1:6">
      <c r="A78" s="73">
        <v>9306</v>
      </c>
      <c r="B78" s="65">
        <v>2</v>
      </c>
      <c r="C78" s="50" t="s">
        <v>486</v>
      </c>
      <c r="D78" s="146">
        <v>45.2</v>
      </c>
      <c r="E78" s="146">
        <f t="shared" si="2"/>
        <v>90.4</v>
      </c>
      <c r="F78" s="71"/>
    </row>
    <row r="79" spans="1:6">
      <c r="A79" s="73">
        <v>9358</v>
      </c>
      <c r="B79" s="65">
        <v>2</v>
      </c>
      <c r="C79" s="50" t="s">
        <v>487</v>
      </c>
      <c r="D79" s="146">
        <v>31.05</v>
      </c>
      <c r="E79" s="146">
        <f t="shared" si="2"/>
        <v>62.1</v>
      </c>
      <c r="F79" s="71"/>
    </row>
    <row r="80" spans="1:6">
      <c r="A80" s="96"/>
      <c r="B80" s="49"/>
      <c r="C80" s="47"/>
      <c r="D80" s="147"/>
      <c r="E80" s="147"/>
      <c r="F80" s="70">
        <f>SUM(E57:F79)</f>
        <v>1632.4199999999998</v>
      </c>
    </row>
    <row r="81" spans="1:6">
      <c r="A81" s="96"/>
      <c r="B81" s="103"/>
      <c r="C81" s="113"/>
      <c r="D81" s="148"/>
      <c r="E81" s="148"/>
      <c r="F81" s="89"/>
    </row>
    <row r="82" spans="1:6">
      <c r="A82" s="123"/>
      <c r="B82" s="125" t="s">
        <v>539</v>
      </c>
      <c r="C82" s="57" t="s">
        <v>538</v>
      </c>
      <c r="D82" s="144"/>
      <c r="E82" s="144"/>
      <c r="F82" s="76"/>
    </row>
    <row r="83" spans="1:6">
      <c r="A83" s="98" t="s">
        <v>91</v>
      </c>
      <c r="B83" s="97" t="s">
        <v>504</v>
      </c>
      <c r="C83" s="54" t="s">
        <v>133</v>
      </c>
      <c r="D83" s="145" t="s">
        <v>17</v>
      </c>
      <c r="E83" s="145" t="s">
        <v>503</v>
      </c>
      <c r="F83" s="53" t="s">
        <v>16</v>
      </c>
    </row>
    <row r="84" spans="1:6">
      <c r="A84" s="73">
        <v>1002</v>
      </c>
      <c r="B84" s="65">
        <v>2</v>
      </c>
      <c r="C84" s="50" t="s">
        <v>176</v>
      </c>
      <c r="D84" s="146">
        <v>7.28</v>
      </c>
      <c r="E84" s="146">
        <f t="shared" ref="E84:E101" si="3">PRODUCT(B84,D84)</f>
        <v>14.56</v>
      </c>
      <c r="F84" s="71"/>
    </row>
    <row r="85" spans="1:6">
      <c r="A85" s="73">
        <v>6113</v>
      </c>
      <c r="B85" s="65">
        <v>1</v>
      </c>
      <c r="C85" s="50" t="s">
        <v>374</v>
      </c>
      <c r="D85" s="146">
        <v>46.33</v>
      </c>
      <c r="E85" s="146">
        <f t="shared" si="3"/>
        <v>46.33</v>
      </c>
      <c r="F85" s="71"/>
    </row>
    <row r="86" spans="1:6">
      <c r="A86" s="73">
        <v>6118</v>
      </c>
      <c r="B86" s="65">
        <v>2</v>
      </c>
      <c r="C86" s="50" t="s">
        <v>377</v>
      </c>
      <c r="D86" s="146">
        <v>6.18</v>
      </c>
      <c r="E86" s="146">
        <f t="shared" si="3"/>
        <v>12.36</v>
      </c>
      <c r="F86" s="71"/>
    </row>
    <row r="87" spans="1:6">
      <c r="A87" s="105">
        <v>9958</v>
      </c>
      <c r="B87" s="65">
        <v>2</v>
      </c>
      <c r="C87" s="50" t="s">
        <v>425</v>
      </c>
      <c r="D87" s="146">
        <v>18.899999999999999</v>
      </c>
      <c r="E87" s="146">
        <f t="shared" si="3"/>
        <v>37.799999999999997</v>
      </c>
      <c r="F87" s="71"/>
    </row>
    <row r="88" spans="1:6">
      <c r="A88" s="73">
        <v>6144</v>
      </c>
      <c r="B88" s="65">
        <v>1</v>
      </c>
      <c r="C88" s="50" t="s">
        <v>379</v>
      </c>
      <c r="D88" s="146">
        <v>19.04</v>
      </c>
      <c r="E88" s="146">
        <f t="shared" si="3"/>
        <v>19.04</v>
      </c>
      <c r="F88" s="71"/>
    </row>
    <row r="89" spans="1:6">
      <c r="A89" s="73">
        <v>1023</v>
      </c>
      <c r="B89" s="65">
        <v>1</v>
      </c>
      <c r="C89" s="50" t="s">
        <v>181</v>
      </c>
      <c r="D89" s="146">
        <v>36.5</v>
      </c>
      <c r="E89" s="146">
        <f t="shared" si="3"/>
        <v>36.5</v>
      </c>
      <c r="F89" s="71"/>
    </row>
    <row r="90" spans="1:6">
      <c r="A90" s="73">
        <v>1053</v>
      </c>
      <c r="B90" s="65">
        <v>1</v>
      </c>
      <c r="C90" s="50" t="s">
        <v>183</v>
      </c>
      <c r="D90" s="146">
        <v>14.55</v>
      </c>
      <c r="E90" s="146">
        <f t="shared" si="3"/>
        <v>14.55</v>
      </c>
      <c r="F90" s="71"/>
    </row>
    <row r="91" spans="1:6">
      <c r="A91" s="73">
        <v>1251</v>
      </c>
      <c r="B91" s="65">
        <v>1</v>
      </c>
      <c r="C91" s="50" t="s">
        <v>87</v>
      </c>
      <c r="D91" s="146">
        <v>9.2200000000000006</v>
      </c>
      <c r="E91" s="146">
        <f t="shared" si="3"/>
        <v>9.2200000000000006</v>
      </c>
      <c r="F91" s="71"/>
    </row>
    <row r="92" spans="1:6">
      <c r="A92" s="73">
        <v>6161</v>
      </c>
      <c r="B92" s="65">
        <v>1</v>
      </c>
      <c r="C92" s="50" t="s">
        <v>382</v>
      </c>
      <c r="D92" s="146">
        <v>147.34</v>
      </c>
      <c r="E92" s="146">
        <f t="shared" si="3"/>
        <v>147.34</v>
      </c>
      <c r="F92" s="71"/>
    </row>
    <row r="93" spans="1:6">
      <c r="A93" s="73">
        <v>1455</v>
      </c>
      <c r="B93" s="65">
        <v>1</v>
      </c>
      <c r="C93" s="50" t="s">
        <v>223</v>
      </c>
      <c r="D93" s="146">
        <v>18.43</v>
      </c>
      <c r="E93" s="146">
        <f t="shared" si="3"/>
        <v>18.43</v>
      </c>
      <c r="F93" s="71"/>
    </row>
    <row r="94" spans="1:6">
      <c r="A94" s="73">
        <v>6951</v>
      </c>
      <c r="B94" s="65">
        <v>2</v>
      </c>
      <c r="C94" s="50" t="s">
        <v>480</v>
      </c>
      <c r="D94" s="146">
        <v>27.04</v>
      </c>
      <c r="E94" s="146">
        <f t="shared" si="3"/>
        <v>54.08</v>
      </c>
      <c r="F94" s="71"/>
    </row>
    <row r="95" spans="1:6">
      <c r="A95" s="73">
        <v>1951</v>
      </c>
      <c r="B95" s="65">
        <v>2</v>
      </c>
      <c r="C95" s="50" t="s">
        <v>188</v>
      </c>
      <c r="D95" s="146">
        <v>27.04</v>
      </c>
      <c r="E95" s="146">
        <f t="shared" si="3"/>
        <v>54.08</v>
      </c>
      <c r="F95" s="71"/>
    </row>
    <row r="96" spans="1:6">
      <c r="A96" s="115">
        <v>9960</v>
      </c>
      <c r="B96" s="65">
        <v>2</v>
      </c>
      <c r="C96" s="50" t="s">
        <v>428</v>
      </c>
      <c r="D96" s="146">
        <v>82.75</v>
      </c>
      <c r="E96" s="146">
        <f t="shared" si="3"/>
        <v>165.5</v>
      </c>
      <c r="F96" s="71"/>
    </row>
    <row r="97" spans="1:6">
      <c r="A97" s="73">
        <v>6490</v>
      </c>
      <c r="B97" s="65">
        <v>2</v>
      </c>
      <c r="C97" s="50" t="s">
        <v>478</v>
      </c>
      <c r="D97" s="146">
        <v>73.73</v>
      </c>
      <c r="E97" s="146">
        <f t="shared" si="3"/>
        <v>147.46</v>
      </c>
      <c r="F97" s="71"/>
    </row>
    <row r="98" spans="1:6">
      <c r="A98" s="73">
        <v>1774</v>
      </c>
      <c r="B98" s="65">
        <v>1</v>
      </c>
      <c r="C98" s="50" t="s">
        <v>253</v>
      </c>
      <c r="D98" s="146">
        <v>19.77</v>
      </c>
      <c r="E98" s="146">
        <f t="shared" si="3"/>
        <v>19.77</v>
      </c>
      <c r="F98" s="71"/>
    </row>
    <row r="99" spans="1:6">
      <c r="A99" s="105">
        <v>106</v>
      </c>
      <c r="B99" s="65">
        <v>1</v>
      </c>
      <c r="C99" s="50" t="s">
        <v>26</v>
      </c>
      <c r="D99" s="146">
        <v>2.2999999999999998</v>
      </c>
      <c r="E99" s="146">
        <f t="shared" si="3"/>
        <v>2.2999999999999998</v>
      </c>
      <c r="F99" s="71"/>
    </row>
    <row r="100" spans="1:6">
      <c r="A100" s="73">
        <v>9306</v>
      </c>
      <c r="B100" s="65">
        <v>1</v>
      </c>
      <c r="C100" s="50" t="s">
        <v>486</v>
      </c>
      <c r="D100" s="146">
        <v>45.2</v>
      </c>
      <c r="E100" s="146">
        <f t="shared" si="3"/>
        <v>45.2</v>
      </c>
      <c r="F100" s="71"/>
    </row>
    <row r="101" spans="1:6">
      <c r="A101" s="73">
        <v>9358</v>
      </c>
      <c r="B101" s="65">
        <v>1</v>
      </c>
      <c r="C101" s="50" t="s">
        <v>487</v>
      </c>
      <c r="D101" s="146">
        <v>31.05</v>
      </c>
      <c r="E101" s="146">
        <f t="shared" si="3"/>
        <v>31.05</v>
      </c>
      <c r="F101" s="71"/>
    </row>
    <row r="102" spans="1:6">
      <c r="A102" s="96"/>
      <c r="B102" s="49"/>
      <c r="C102" s="47"/>
      <c r="D102" s="147"/>
      <c r="E102" s="147"/>
      <c r="F102" s="70">
        <f>SUM(E84:F101)</f>
        <v>875.56999999999994</v>
      </c>
    </row>
    <row r="103" spans="1:6">
      <c r="A103" s="96"/>
      <c r="B103" s="103"/>
      <c r="C103" s="113"/>
      <c r="D103" s="148"/>
      <c r="E103" s="148"/>
      <c r="F103" s="89"/>
    </row>
    <row r="104" spans="1:6">
      <c r="A104" s="117"/>
      <c r="B104" s="59" t="s">
        <v>108</v>
      </c>
      <c r="C104" s="116" t="s">
        <v>537</v>
      </c>
      <c r="D104" s="149"/>
      <c r="E104" s="149"/>
      <c r="F104" s="99"/>
    </row>
    <row r="105" spans="1:6">
      <c r="A105" s="98" t="s">
        <v>91</v>
      </c>
      <c r="B105" s="97" t="s">
        <v>504</v>
      </c>
      <c r="C105" s="54" t="s">
        <v>133</v>
      </c>
      <c r="D105" s="145" t="s">
        <v>17</v>
      </c>
      <c r="E105" s="145" t="s">
        <v>503</v>
      </c>
      <c r="F105" s="53" t="s">
        <v>16</v>
      </c>
    </row>
    <row r="106" spans="1:6">
      <c r="A106" s="73">
        <v>1002</v>
      </c>
      <c r="B106" s="65">
        <v>2</v>
      </c>
      <c r="C106" s="50" t="s">
        <v>176</v>
      </c>
      <c r="D106" s="146">
        <v>7.28</v>
      </c>
      <c r="E106" s="146">
        <f t="shared" ref="E106:E123" si="4">PRODUCT(B106,D106)</f>
        <v>14.56</v>
      </c>
      <c r="F106" s="71"/>
    </row>
    <row r="107" spans="1:6">
      <c r="A107" s="73">
        <v>6113</v>
      </c>
      <c r="B107" s="65">
        <v>1</v>
      </c>
      <c r="C107" s="50" t="s">
        <v>374</v>
      </c>
      <c r="D107" s="146">
        <v>46.33</v>
      </c>
      <c r="E107" s="146">
        <f t="shared" si="4"/>
        <v>46.33</v>
      </c>
      <c r="F107" s="71"/>
    </row>
    <row r="108" spans="1:6">
      <c r="A108" s="73">
        <v>6118</v>
      </c>
      <c r="B108" s="65">
        <v>4</v>
      </c>
      <c r="C108" s="50" t="s">
        <v>377</v>
      </c>
      <c r="D108" s="146">
        <v>6.18</v>
      </c>
      <c r="E108" s="146">
        <f t="shared" si="4"/>
        <v>24.72</v>
      </c>
      <c r="F108" s="71"/>
    </row>
    <row r="109" spans="1:6">
      <c r="A109" s="73">
        <v>9958</v>
      </c>
      <c r="B109" s="65">
        <v>4</v>
      </c>
      <c r="C109" s="50" t="s">
        <v>425</v>
      </c>
      <c r="D109" s="146">
        <v>18.899999999999999</v>
      </c>
      <c r="E109" s="146">
        <f t="shared" si="4"/>
        <v>75.599999999999994</v>
      </c>
      <c r="F109" s="71"/>
    </row>
    <row r="110" spans="1:6">
      <c r="A110" s="73">
        <v>6144</v>
      </c>
      <c r="B110" s="65">
        <v>1</v>
      </c>
      <c r="C110" s="50" t="s">
        <v>379</v>
      </c>
      <c r="D110" s="146">
        <v>19.04</v>
      </c>
      <c r="E110" s="146">
        <f t="shared" si="4"/>
        <v>19.04</v>
      </c>
      <c r="F110" s="71"/>
    </row>
    <row r="111" spans="1:6">
      <c r="A111" s="73">
        <v>1023</v>
      </c>
      <c r="B111" s="65">
        <v>1</v>
      </c>
      <c r="C111" s="50" t="s">
        <v>181</v>
      </c>
      <c r="D111" s="146">
        <v>36.5</v>
      </c>
      <c r="E111" s="146">
        <f t="shared" si="4"/>
        <v>36.5</v>
      </c>
      <c r="F111" s="71"/>
    </row>
    <row r="112" spans="1:6">
      <c r="A112" s="73">
        <v>1053</v>
      </c>
      <c r="B112" s="65">
        <v>1</v>
      </c>
      <c r="C112" s="50" t="s">
        <v>183</v>
      </c>
      <c r="D112" s="146">
        <v>14.55</v>
      </c>
      <c r="E112" s="146">
        <f t="shared" si="4"/>
        <v>14.55</v>
      </c>
      <c r="F112" s="71"/>
    </row>
    <row r="113" spans="1:6">
      <c r="A113" s="73">
        <v>1251</v>
      </c>
      <c r="B113" s="65">
        <v>1</v>
      </c>
      <c r="C113" s="50" t="s">
        <v>87</v>
      </c>
      <c r="D113" s="146">
        <v>9.2200000000000006</v>
      </c>
      <c r="E113" s="146">
        <f t="shared" si="4"/>
        <v>9.2200000000000006</v>
      </c>
      <c r="F113" s="71"/>
    </row>
    <row r="114" spans="1:6">
      <c r="A114" s="73">
        <v>6161</v>
      </c>
      <c r="B114" s="65">
        <v>1</v>
      </c>
      <c r="C114" s="50" t="s">
        <v>382</v>
      </c>
      <c r="D114" s="146">
        <v>147.34</v>
      </c>
      <c r="E114" s="146">
        <f t="shared" si="4"/>
        <v>147.34</v>
      </c>
      <c r="F114" s="71"/>
    </row>
    <row r="115" spans="1:6">
      <c r="A115" s="73">
        <v>1455</v>
      </c>
      <c r="B115" s="65">
        <v>1</v>
      </c>
      <c r="C115" s="50" t="s">
        <v>223</v>
      </c>
      <c r="D115" s="146">
        <v>18.43</v>
      </c>
      <c r="E115" s="146">
        <f t="shared" si="4"/>
        <v>18.43</v>
      </c>
      <c r="F115" s="71"/>
    </row>
    <row r="116" spans="1:6">
      <c r="A116" s="73">
        <v>6951</v>
      </c>
      <c r="B116" s="65">
        <v>4</v>
      </c>
      <c r="C116" s="50" t="s">
        <v>480</v>
      </c>
      <c r="D116" s="146">
        <v>27.04</v>
      </c>
      <c r="E116" s="146">
        <f t="shared" si="4"/>
        <v>108.16</v>
      </c>
      <c r="F116" s="71"/>
    </row>
    <row r="117" spans="1:6">
      <c r="A117" s="73">
        <v>1951</v>
      </c>
      <c r="B117" s="65">
        <v>4</v>
      </c>
      <c r="C117" s="50" t="s">
        <v>188</v>
      </c>
      <c r="D117" s="146">
        <v>27.04</v>
      </c>
      <c r="E117" s="146">
        <f t="shared" si="4"/>
        <v>108.16</v>
      </c>
      <c r="F117" s="71"/>
    </row>
    <row r="118" spans="1:6">
      <c r="A118" s="105">
        <v>9960</v>
      </c>
      <c r="B118" s="65">
        <v>4</v>
      </c>
      <c r="C118" s="50" t="s">
        <v>428</v>
      </c>
      <c r="D118" s="146">
        <v>82.75</v>
      </c>
      <c r="E118" s="146">
        <f t="shared" si="4"/>
        <v>331</v>
      </c>
      <c r="F118" s="71"/>
    </row>
    <row r="119" spans="1:6">
      <c r="A119" s="73">
        <v>6490</v>
      </c>
      <c r="B119" s="65">
        <v>4</v>
      </c>
      <c r="C119" s="50" t="s">
        <v>478</v>
      </c>
      <c r="D119" s="146">
        <v>73.73</v>
      </c>
      <c r="E119" s="146">
        <f t="shared" si="4"/>
        <v>294.92</v>
      </c>
      <c r="F119" s="71"/>
    </row>
    <row r="120" spans="1:6">
      <c r="A120" s="73">
        <v>1774</v>
      </c>
      <c r="B120" s="65">
        <v>1</v>
      </c>
      <c r="C120" s="50" t="s">
        <v>253</v>
      </c>
      <c r="D120" s="146">
        <v>19.77</v>
      </c>
      <c r="E120" s="146">
        <f t="shared" si="4"/>
        <v>19.77</v>
      </c>
      <c r="F120" s="71"/>
    </row>
    <row r="121" spans="1:6">
      <c r="A121" s="105">
        <v>106</v>
      </c>
      <c r="B121" s="65">
        <v>1</v>
      </c>
      <c r="C121" s="50" t="s">
        <v>26</v>
      </c>
      <c r="D121" s="146">
        <v>2.2999999999999998</v>
      </c>
      <c r="E121" s="146">
        <f t="shared" si="4"/>
        <v>2.2999999999999998</v>
      </c>
      <c r="F121" s="71"/>
    </row>
    <row r="122" spans="1:6">
      <c r="A122" s="73">
        <v>9306</v>
      </c>
      <c r="B122" s="65">
        <v>1</v>
      </c>
      <c r="C122" s="50" t="s">
        <v>486</v>
      </c>
      <c r="D122" s="146">
        <v>45.2</v>
      </c>
      <c r="E122" s="146">
        <f t="shared" si="4"/>
        <v>45.2</v>
      </c>
      <c r="F122" s="71"/>
    </row>
    <row r="123" spans="1:6">
      <c r="A123" s="73">
        <v>9358</v>
      </c>
      <c r="B123" s="65">
        <v>1</v>
      </c>
      <c r="C123" s="50" t="s">
        <v>487</v>
      </c>
      <c r="D123" s="146">
        <v>31.05</v>
      </c>
      <c r="E123" s="146">
        <f t="shared" si="4"/>
        <v>31.05</v>
      </c>
      <c r="F123" s="71"/>
    </row>
    <row r="124" spans="1:6">
      <c r="A124" s="96"/>
      <c r="B124" s="49"/>
      <c r="C124" s="47"/>
      <c r="D124" s="147"/>
      <c r="E124" s="147"/>
      <c r="F124" s="70">
        <f>SUM(E106:F123)</f>
        <v>1346.85</v>
      </c>
    </row>
    <row r="125" spans="1:6">
      <c r="A125" s="124"/>
      <c r="B125" s="103"/>
      <c r="C125" s="113"/>
      <c r="D125" s="148"/>
      <c r="E125" s="148"/>
      <c r="F125" s="89"/>
    </row>
    <row r="126" spans="1:6">
      <c r="A126" s="123"/>
      <c r="B126" s="59" t="s">
        <v>107</v>
      </c>
      <c r="C126" s="57" t="s">
        <v>536</v>
      </c>
      <c r="D126" s="144"/>
      <c r="E126" s="144"/>
      <c r="F126" s="76"/>
    </row>
    <row r="127" spans="1:6">
      <c r="A127" s="98" t="s">
        <v>91</v>
      </c>
      <c r="B127" s="97" t="s">
        <v>504</v>
      </c>
      <c r="C127" s="54" t="s">
        <v>133</v>
      </c>
      <c r="D127" s="145" t="s">
        <v>17</v>
      </c>
      <c r="E127" s="145" t="s">
        <v>503</v>
      </c>
      <c r="F127" s="53" t="s">
        <v>16</v>
      </c>
    </row>
    <row r="128" spans="1:6">
      <c r="A128" s="73">
        <v>1002</v>
      </c>
      <c r="B128" s="65">
        <v>2</v>
      </c>
      <c r="C128" s="50" t="s">
        <v>176</v>
      </c>
      <c r="D128" s="146">
        <v>7.28</v>
      </c>
      <c r="E128" s="146">
        <f t="shared" ref="E128:E145" si="5">PRODUCT(B128,D128)</f>
        <v>14.56</v>
      </c>
      <c r="F128" s="71"/>
    </row>
    <row r="129" spans="1:6">
      <c r="A129" s="73">
        <v>6113</v>
      </c>
      <c r="B129" s="65">
        <v>1</v>
      </c>
      <c r="C129" s="50" t="s">
        <v>374</v>
      </c>
      <c r="D129" s="146">
        <v>46.33</v>
      </c>
      <c r="E129" s="146">
        <f t="shared" si="5"/>
        <v>46.33</v>
      </c>
      <c r="F129" s="71"/>
    </row>
    <row r="130" spans="1:6">
      <c r="A130" s="73">
        <v>6118</v>
      </c>
      <c r="B130" s="65">
        <v>2</v>
      </c>
      <c r="C130" s="50" t="s">
        <v>377</v>
      </c>
      <c r="D130" s="146">
        <v>6.18</v>
      </c>
      <c r="E130" s="146">
        <f t="shared" si="5"/>
        <v>12.36</v>
      </c>
      <c r="F130" s="71"/>
    </row>
    <row r="131" spans="1:6">
      <c r="A131" s="73">
        <v>9958</v>
      </c>
      <c r="B131" s="65">
        <v>2</v>
      </c>
      <c r="C131" s="50" t="s">
        <v>425</v>
      </c>
      <c r="D131" s="146">
        <v>18.899999999999999</v>
      </c>
      <c r="E131" s="146">
        <f t="shared" si="5"/>
        <v>37.799999999999997</v>
      </c>
      <c r="F131" s="71"/>
    </row>
    <row r="132" spans="1:6">
      <c r="A132" s="73">
        <v>6144</v>
      </c>
      <c r="B132" s="65">
        <v>1</v>
      </c>
      <c r="C132" s="50" t="s">
        <v>379</v>
      </c>
      <c r="D132" s="146">
        <v>19.04</v>
      </c>
      <c r="E132" s="146">
        <f t="shared" si="5"/>
        <v>19.04</v>
      </c>
      <c r="F132" s="71"/>
    </row>
    <row r="133" spans="1:6">
      <c r="A133" s="73">
        <v>1023</v>
      </c>
      <c r="B133" s="65">
        <v>1</v>
      </c>
      <c r="C133" s="50" t="s">
        <v>181</v>
      </c>
      <c r="D133" s="146">
        <v>36.5</v>
      </c>
      <c r="E133" s="146">
        <f t="shared" si="5"/>
        <v>36.5</v>
      </c>
      <c r="F133" s="71"/>
    </row>
    <row r="134" spans="1:6">
      <c r="A134" s="73">
        <v>1053</v>
      </c>
      <c r="B134" s="65">
        <v>1</v>
      </c>
      <c r="C134" s="50" t="s">
        <v>183</v>
      </c>
      <c r="D134" s="146">
        <v>14.55</v>
      </c>
      <c r="E134" s="146">
        <f t="shared" si="5"/>
        <v>14.55</v>
      </c>
      <c r="F134" s="71"/>
    </row>
    <row r="135" spans="1:6">
      <c r="A135" s="73">
        <v>1251</v>
      </c>
      <c r="B135" s="65">
        <v>1</v>
      </c>
      <c r="C135" s="50" t="s">
        <v>87</v>
      </c>
      <c r="D135" s="146">
        <v>9.2200000000000006</v>
      </c>
      <c r="E135" s="146">
        <f t="shared" si="5"/>
        <v>9.2200000000000006</v>
      </c>
      <c r="F135" s="71"/>
    </row>
    <row r="136" spans="1:6">
      <c r="A136" s="73">
        <v>6161</v>
      </c>
      <c r="B136" s="65">
        <v>1</v>
      </c>
      <c r="C136" s="50" t="s">
        <v>382</v>
      </c>
      <c r="D136" s="146">
        <v>147.34</v>
      </c>
      <c r="E136" s="146">
        <f t="shared" si="5"/>
        <v>147.34</v>
      </c>
      <c r="F136" s="71"/>
    </row>
    <row r="137" spans="1:6">
      <c r="A137" s="73">
        <v>1455</v>
      </c>
      <c r="B137" s="65">
        <v>1</v>
      </c>
      <c r="C137" s="50" t="s">
        <v>223</v>
      </c>
      <c r="D137" s="146">
        <v>18.43</v>
      </c>
      <c r="E137" s="146">
        <f t="shared" si="5"/>
        <v>18.43</v>
      </c>
      <c r="F137" s="71"/>
    </row>
    <row r="138" spans="1:6">
      <c r="A138" s="73">
        <v>6951</v>
      </c>
      <c r="B138" s="65">
        <v>2</v>
      </c>
      <c r="C138" s="50" t="s">
        <v>480</v>
      </c>
      <c r="D138" s="146">
        <v>27.04</v>
      </c>
      <c r="E138" s="146">
        <f t="shared" si="5"/>
        <v>54.08</v>
      </c>
      <c r="F138" s="71"/>
    </row>
    <row r="139" spans="1:6">
      <c r="A139" s="73">
        <v>1951</v>
      </c>
      <c r="B139" s="65">
        <v>2</v>
      </c>
      <c r="C139" s="50" t="s">
        <v>188</v>
      </c>
      <c r="D139" s="146">
        <v>27.04</v>
      </c>
      <c r="E139" s="146">
        <f t="shared" si="5"/>
        <v>54.08</v>
      </c>
      <c r="F139" s="71"/>
    </row>
    <row r="140" spans="1:6">
      <c r="A140" s="105">
        <v>9960</v>
      </c>
      <c r="B140" s="65">
        <v>2</v>
      </c>
      <c r="C140" s="50" t="s">
        <v>428</v>
      </c>
      <c r="D140" s="146">
        <v>82.75</v>
      </c>
      <c r="E140" s="146">
        <f t="shared" si="5"/>
        <v>165.5</v>
      </c>
      <c r="F140" s="71"/>
    </row>
    <row r="141" spans="1:6">
      <c r="A141" s="73">
        <v>6490</v>
      </c>
      <c r="B141" s="65">
        <v>2</v>
      </c>
      <c r="C141" s="50" t="s">
        <v>478</v>
      </c>
      <c r="D141" s="146">
        <v>73.73</v>
      </c>
      <c r="E141" s="146">
        <f t="shared" si="5"/>
        <v>147.46</v>
      </c>
      <c r="F141" s="71"/>
    </row>
    <row r="142" spans="1:6">
      <c r="A142" s="73">
        <v>1774</v>
      </c>
      <c r="B142" s="65">
        <v>1</v>
      </c>
      <c r="C142" s="50" t="s">
        <v>253</v>
      </c>
      <c r="D142" s="146">
        <v>19.77</v>
      </c>
      <c r="E142" s="146">
        <f t="shared" si="5"/>
        <v>19.77</v>
      </c>
      <c r="F142" s="71"/>
    </row>
    <row r="143" spans="1:6">
      <c r="A143" s="105">
        <v>106</v>
      </c>
      <c r="B143" s="65">
        <v>1</v>
      </c>
      <c r="C143" s="50" t="s">
        <v>26</v>
      </c>
      <c r="D143" s="146">
        <v>2.2999999999999998</v>
      </c>
      <c r="E143" s="146">
        <f t="shared" si="5"/>
        <v>2.2999999999999998</v>
      </c>
      <c r="F143" s="71"/>
    </row>
    <row r="144" spans="1:6">
      <c r="A144" s="73">
        <v>9306</v>
      </c>
      <c r="B144" s="65">
        <v>1</v>
      </c>
      <c r="C144" s="50" t="s">
        <v>486</v>
      </c>
      <c r="D144" s="146">
        <v>45.2</v>
      </c>
      <c r="E144" s="146">
        <f t="shared" si="5"/>
        <v>45.2</v>
      </c>
      <c r="F144" s="71"/>
    </row>
    <row r="145" spans="1:6">
      <c r="A145" s="73">
        <v>9358</v>
      </c>
      <c r="B145" s="65">
        <v>1</v>
      </c>
      <c r="C145" s="50" t="s">
        <v>487</v>
      </c>
      <c r="D145" s="146">
        <v>31.05</v>
      </c>
      <c r="E145" s="146">
        <f t="shared" si="5"/>
        <v>31.05</v>
      </c>
      <c r="F145" s="71"/>
    </row>
    <row r="146" spans="1:6">
      <c r="A146" s="96"/>
      <c r="B146" s="49"/>
      <c r="C146" s="47"/>
      <c r="D146" s="147"/>
      <c r="E146" s="147"/>
      <c r="F146" s="70">
        <f>SUM(E128:F145)</f>
        <v>875.56999999999994</v>
      </c>
    </row>
    <row r="147" spans="1:6">
      <c r="A147" s="96"/>
      <c r="B147" s="103"/>
      <c r="C147" s="113"/>
      <c r="D147" s="148"/>
      <c r="E147" s="148"/>
      <c r="F147" s="89"/>
    </row>
    <row r="148" spans="1:6">
      <c r="A148" s="123"/>
      <c r="B148" s="59" t="s">
        <v>107</v>
      </c>
      <c r="C148" s="57" t="s">
        <v>535</v>
      </c>
      <c r="D148" s="144"/>
      <c r="E148" s="144"/>
      <c r="F148" s="76"/>
    </row>
    <row r="149" spans="1:6">
      <c r="A149" s="98" t="s">
        <v>91</v>
      </c>
      <c r="B149" s="97" t="s">
        <v>504</v>
      </c>
      <c r="C149" s="54" t="s">
        <v>133</v>
      </c>
      <c r="D149" s="145" t="s">
        <v>17</v>
      </c>
      <c r="E149" s="145" t="s">
        <v>503</v>
      </c>
      <c r="F149" s="53" t="s">
        <v>16</v>
      </c>
    </row>
    <row r="150" spans="1:6">
      <c r="A150" s="73">
        <v>1002</v>
      </c>
      <c r="B150" s="65">
        <v>2</v>
      </c>
      <c r="C150" s="50" t="s">
        <v>176</v>
      </c>
      <c r="D150" s="146">
        <v>7.28</v>
      </c>
      <c r="E150" s="146">
        <f t="shared" ref="E150:E167" si="6">PRODUCT(B150,D150)</f>
        <v>14.56</v>
      </c>
      <c r="F150" s="71"/>
    </row>
    <row r="151" spans="1:6">
      <c r="A151" s="73">
        <v>6113</v>
      </c>
      <c r="B151" s="65">
        <v>1</v>
      </c>
      <c r="C151" s="50" t="s">
        <v>374</v>
      </c>
      <c r="D151" s="146">
        <v>46.33</v>
      </c>
      <c r="E151" s="146">
        <f t="shared" si="6"/>
        <v>46.33</v>
      </c>
      <c r="F151" s="71"/>
    </row>
    <row r="152" spans="1:6">
      <c r="A152" s="73">
        <v>6118</v>
      </c>
      <c r="B152" s="65">
        <v>3</v>
      </c>
      <c r="C152" s="50" t="s">
        <v>377</v>
      </c>
      <c r="D152" s="146">
        <v>6.18</v>
      </c>
      <c r="E152" s="146">
        <f t="shared" si="6"/>
        <v>18.54</v>
      </c>
      <c r="F152" s="71"/>
    </row>
    <row r="153" spans="1:6">
      <c r="A153" s="73">
        <v>9958</v>
      </c>
      <c r="B153" s="65">
        <v>3</v>
      </c>
      <c r="C153" s="50" t="s">
        <v>425</v>
      </c>
      <c r="D153" s="146">
        <v>18.899999999999999</v>
      </c>
      <c r="E153" s="146">
        <f t="shared" si="6"/>
        <v>56.699999999999996</v>
      </c>
      <c r="F153" s="71"/>
    </row>
    <row r="154" spans="1:6">
      <c r="A154" s="73">
        <v>6144</v>
      </c>
      <c r="B154" s="65">
        <v>1</v>
      </c>
      <c r="C154" s="50" t="s">
        <v>379</v>
      </c>
      <c r="D154" s="146">
        <v>19.04</v>
      </c>
      <c r="E154" s="146">
        <f t="shared" si="6"/>
        <v>19.04</v>
      </c>
      <c r="F154" s="71"/>
    </row>
    <row r="155" spans="1:6">
      <c r="A155" s="73">
        <v>1023</v>
      </c>
      <c r="B155" s="65">
        <v>1</v>
      </c>
      <c r="C155" s="50" t="s">
        <v>181</v>
      </c>
      <c r="D155" s="146">
        <v>36.5</v>
      </c>
      <c r="E155" s="146">
        <f t="shared" si="6"/>
        <v>36.5</v>
      </c>
      <c r="F155" s="71"/>
    </row>
    <row r="156" spans="1:6">
      <c r="A156" s="73">
        <v>1053</v>
      </c>
      <c r="B156" s="65">
        <v>1</v>
      </c>
      <c r="C156" s="50" t="s">
        <v>183</v>
      </c>
      <c r="D156" s="146">
        <v>14.55</v>
      </c>
      <c r="E156" s="146">
        <f t="shared" si="6"/>
        <v>14.55</v>
      </c>
      <c r="F156" s="71"/>
    </row>
    <row r="157" spans="1:6">
      <c r="A157" s="73">
        <v>1251</v>
      </c>
      <c r="B157" s="65">
        <v>1</v>
      </c>
      <c r="C157" s="50" t="s">
        <v>87</v>
      </c>
      <c r="D157" s="146">
        <v>9.2200000000000006</v>
      </c>
      <c r="E157" s="146">
        <f t="shared" si="6"/>
        <v>9.2200000000000006</v>
      </c>
      <c r="F157" s="71"/>
    </row>
    <row r="158" spans="1:6">
      <c r="A158" s="73">
        <v>6161</v>
      </c>
      <c r="B158" s="65">
        <v>1</v>
      </c>
      <c r="C158" s="50" t="s">
        <v>382</v>
      </c>
      <c r="D158" s="146">
        <v>147.34</v>
      </c>
      <c r="E158" s="146">
        <f t="shared" si="6"/>
        <v>147.34</v>
      </c>
      <c r="F158" s="71"/>
    </row>
    <row r="159" spans="1:6">
      <c r="A159" s="73">
        <v>1455</v>
      </c>
      <c r="B159" s="65">
        <v>1</v>
      </c>
      <c r="C159" s="50" t="s">
        <v>223</v>
      </c>
      <c r="D159" s="146">
        <v>18.43</v>
      </c>
      <c r="E159" s="146">
        <f t="shared" si="6"/>
        <v>18.43</v>
      </c>
      <c r="F159" s="71"/>
    </row>
    <row r="160" spans="1:6">
      <c r="A160" s="73">
        <v>6951</v>
      </c>
      <c r="B160" s="65">
        <v>3</v>
      </c>
      <c r="C160" s="50" t="s">
        <v>480</v>
      </c>
      <c r="D160" s="146">
        <v>27.04</v>
      </c>
      <c r="E160" s="146">
        <f t="shared" si="6"/>
        <v>81.12</v>
      </c>
      <c r="F160" s="71"/>
    </row>
    <row r="161" spans="1:6">
      <c r="A161" s="73">
        <v>1951</v>
      </c>
      <c r="B161" s="65">
        <v>3</v>
      </c>
      <c r="C161" s="50" t="s">
        <v>188</v>
      </c>
      <c r="D161" s="146">
        <v>27.04</v>
      </c>
      <c r="E161" s="146">
        <f t="shared" si="6"/>
        <v>81.12</v>
      </c>
      <c r="F161" s="71"/>
    </row>
    <row r="162" spans="1:6">
      <c r="A162" s="105">
        <v>9960</v>
      </c>
      <c r="B162" s="65">
        <v>3</v>
      </c>
      <c r="C162" s="50" t="s">
        <v>428</v>
      </c>
      <c r="D162" s="146">
        <v>82.75</v>
      </c>
      <c r="E162" s="146">
        <f t="shared" si="6"/>
        <v>248.25</v>
      </c>
      <c r="F162" s="71"/>
    </row>
    <row r="163" spans="1:6">
      <c r="A163" s="73">
        <v>6490</v>
      </c>
      <c r="B163" s="65">
        <v>3</v>
      </c>
      <c r="C163" s="50" t="s">
        <v>478</v>
      </c>
      <c r="D163" s="146">
        <v>73.73</v>
      </c>
      <c r="E163" s="146">
        <f t="shared" si="6"/>
        <v>221.19</v>
      </c>
      <c r="F163" s="71"/>
    </row>
    <row r="164" spans="1:6">
      <c r="A164" s="73">
        <v>1774</v>
      </c>
      <c r="B164" s="65">
        <v>1</v>
      </c>
      <c r="C164" s="50" t="s">
        <v>253</v>
      </c>
      <c r="D164" s="146">
        <v>19.77</v>
      </c>
      <c r="E164" s="146">
        <f t="shared" si="6"/>
        <v>19.77</v>
      </c>
      <c r="F164" s="71"/>
    </row>
    <row r="165" spans="1:6">
      <c r="A165" s="105">
        <v>106</v>
      </c>
      <c r="B165" s="65">
        <v>1</v>
      </c>
      <c r="C165" s="50" t="s">
        <v>26</v>
      </c>
      <c r="D165" s="146">
        <v>2.2999999999999998</v>
      </c>
      <c r="E165" s="146">
        <f t="shared" si="6"/>
        <v>2.2999999999999998</v>
      </c>
      <c r="F165" s="71"/>
    </row>
    <row r="166" spans="1:6">
      <c r="A166" s="73">
        <v>9306</v>
      </c>
      <c r="B166" s="65">
        <v>1</v>
      </c>
      <c r="C166" s="50" t="s">
        <v>486</v>
      </c>
      <c r="D166" s="146">
        <v>45.2</v>
      </c>
      <c r="E166" s="146">
        <f t="shared" si="6"/>
        <v>45.2</v>
      </c>
      <c r="F166" s="71"/>
    </row>
    <row r="167" spans="1:6">
      <c r="A167" s="73">
        <v>9358</v>
      </c>
      <c r="B167" s="65">
        <v>1</v>
      </c>
      <c r="C167" s="50" t="s">
        <v>487</v>
      </c>
      <c r="D167" s="146">
        <v>31.05</v>
      </c>
      <c r="E167" s="146">
        <f t="shared" si="6"/>
        <v>31.05</v>
      </c>
      <c r="F167" s="71"/>
    </row>
    <row r="168" spans="1:6">
      <c r="A168" s="96"/>
      <c r="B168" s="49"/>
      <c r="C168" s="47"/>
      <c r="D168" s="147"/>
      <c r="E168" s="147"/>
      <c r="F168" s="70">
        <f>SUM(E150:F167)</f>
        <v>1111.21</v>
      </c>
    </row>
    <row r="169" spans="1:6">
      <c r="A169" s="118"/>
      <c r="B169" s="103"/>
      <c r="C169" s="113"/>
      <c r="D169" s="148"/>
      <c r="E169" s="148"/>
      <c r="F169" s="89"/>
    </row>
    <row r="170" spans="1:6">
      <c r="A170" s="117"/>
      <c r="B170" s="59" t="s">
        <v>107</v>
      </c>
      <c r="C170" s="116" t="s">
        <v>465</v>
      </c>
      <c r="D170" s="149"/>
      <c r="E170" s="149"/>
      <c r="F170" s="99"/>
    </row>
    <row r="171" spans="1:6">
      <c r="A171" s="98" t="s">
        <v>91</v>
      </c>
      <c r="B171" s="97" t="s">
        <v>504</v>
      </c>
      <c r="C171" s="54" t="s">
        <v>133</v>
      </c>
      <c r="D171" s="145" t="s">
        <v>17</v>
      </c>
      <c r="E171" s="145" t="s">
        <v>503</v>
      </c>
      <c r="F171" s="53" t="s">
        <v>16</v>
      </c>
    </row>
    <row r="172" spans="1:6">
      <c r="A172" s="73">
        <v>1002</v>
      </c>
      <c r="B172" s="65">
        <v>2</v>
      </c>
      <c r="C172" s="50" t="s">
        <v>176</v>
      </c>
      <c r="D172" s="146">
        <v>7.28</v>
      </c>
      <c r="E172" s="146">
        <f t="shared" ref="E172:E189" si="7">PRODUCT(B172,D172)</f>
        <v>14.56</v>
      </c>
      <c r="F172" s="71"/>
    </row>
    <row r="173" spans="1:6">
      <c r="A173" s="73">
        <v>6113</v>
      </c>
      <c r="B173" s="65">
        <v>1</v>
      </c>
      <c r="C173" s="50" t="s">
        <v>374</v>
      </c>
      <c r="D173" s="146">
        <v>46.33</v>
      </c>
      <c r="E173" s="146">
        <f t="shared" si="7"/>
        <v>46.33</v>
      </c>
      <c r="F173" s="71"/>
    </row>
    <row r="174" spans="1:6">
      <c r="A174" s="73">
        <v>6118</v>
      </c>
      <c r="B174" s="65">
        <v>4</v>
      </c>
      <c r="C174" s="50" t="s">
        <v>377</v>
      </c>
      <c r="D174" s="146">
        <v>6.18</v>
      </c>
      <c r="E174" s="146">
        <f t="shared" si="7"/>
        <v>24.72</v>
      </c>
      <c r="F174" s="71"/>
    </row>
    <row r="175" spans="1:6">
      <c r="A175" s="73">
        <v>9958</v>
      </c>
      <c r="B175" s="65">
        <v>4</v>
      </c>
      <c r="C175" s="50" t="s">
        <v>425</v>
      </c>
      <c r="D175" s="146">
        <v>18.899999999999999</v>
      </c>
      <c r="E175" s="146">
        <f t="shared" si="7"/>
        <v>75.599999999999994</v>
      </c>
      <c r="F175" s="71"/>
    </row>
    <row r="176" spans="1:6">
      <c r="A176" s="73">
        <v>6144</v>
      </c>
      <c r="B176" s="65">
        <v>1</v>
      </c>
      <c r="C176" s="50" t="s">
        <v>379</v>
      </c>
      <c r="D176" s="146">
        <v>19.04</v>
      </c>
      <c r="E176" s="146">
        <f t="shared" si="7"/>
        <v>19.04</v>
      </c>
      <c r="F176" s="71"/>
    </row>
    <row r="177" spans="1:6">
      <c r="A177" s="73">
        <v>1023</v>
      </c>
      <c r="B177" s="65">
        <v>1</v>
      </c>
      <c r="C177" s="50" t="s">
        <v>181</v>
      </c>
      <c r="D177" s="146">
        <v>36.5</v>
      </c>
      <c r="E177" s="146">
        <f t="shared" si="7"/>
        <v>36.5</v>
      </c>
      <c r="F177" s="71"/>
    </row>
    <row r="178" spans="1:6">
      <c r="A178" s="73">
        <v>1053</v>
      </c>
      <c r="B178" s="65">
        <v>1</v>
      </c>
      <c r="C178" s="50" t="s">
        <v>183</v>
      </c>
      <c r="D178" s="146">
        <v>14.55</v>
      </c>
      <c r="E178" s="146">
        <f t="shared" si="7"/>
        <v>14.55</v>
      </c>
      <c r="F178" s="71"/>
    </row>
    <row r="179" spans="1:6">
      <c r="A179" s="73">
        <v>1251</v>
      </c>
      <c r="B179" s="65">
        <v>1</v>
      </c>
      <c r="C179" s="50" t="s">
        <v>87</v>
      </c>
      <c r="D179" s="146">
        <v>9.2200000000000006</v>
      </c>
      <c r="E179" s="146">
        <f t="shared" si="7"/>
        <v>9.2200000000000006</v>
      </c>
      <c r="F179" s="71"/>
    </row>
    <row r="180" spans="1:6">
      <c r="A180" s="73">
        <v>6161</v>
      </c>
      <c r="B180" s="65">
        <v>1</v>
      </c>
      <c r="C180" s="50" t="s">
        <v>382</v>
      </c>
      <c r="D180" s="146">
        <v>147.34</v>
      </c>
      <c r="E180" s="146">
        <f t="shared" si="7"/>
        <v>147.34</v>
      </c>
      <c r="F180" s="71"/>
    </row>
    <row r="181" spans="1:6">
      <c r="A181" s="73">
        <v>1455</v>
      </c>
      <c r="B181" s="65">
        <v>1</v>
      </c>
      <c r="C181" s="50" t="s">
        <v>223</v>
      </c>
      <c r="D181" s="146">
        <v>18.43</v>
      </c>
      <c r="E181" s="146">
        <f t="shared" si="7"/>
        <v>18.43</v>
      </c>
      <c r="F181" s="71"/>
    </row>
    <row r="182" spans="1:6">
      <c r="A182" s="73">
        <v>6951</v>
      </c>
      <c r="B182" s="65">
        <v>4</v>
      </c>
      <c r="C182" s="50" t="s">
        <v>480</v>
      </c>
      <c r="D182" s="146">
        <v>27.04</v>
      </c>
      <c r="E182" s="146">
        <f t="shared" si="7"/>
        <v>108.16</v>
      </c>
      <c r="F182" s="71"/>
    </row>
    <row r="183" spans="1:6">
      <c r="A183" s="73">
        <v>1951</v>
      </c>
      <c r="B183" s="65">
        <v>4</v>
      </c>
      <c r="C183" s="50" t="s">
        <v>188</v>
      </c>
      <c r="D183" s="146">
        <v>27.04</v>
      </c>
      <c r="E183" s="146">
        <f t="shared" si="7"/>
        <v>108.16</v>
      </c>
      <c r="F183" s="71"/>
    </row>
    <row r="184" spans="1:6">
      <c r="A184" s="105">
        <v>9960</v>
      </c>
      <c r="B184" s="65">
        <v>4</v>
      </c>
      <c r="C184" s="50" t="s">
        <v>428</v>
      </c>
      <c r="D184" s="146">
        <v>82.75</v>
      </c>
      <c r="E184" s="146">
        <f t="shared" si="7"/>
        <v>331</v>
      </c>
      <c r="F184" s="71"/>
    </row>
    <row r="185" spans="1:6">
      <c r="A185" s="73">
        <v>6490</v>
      </c>
      <c r="B185" s="65">
        <v>4</v>
      </c>
      <c r="C185" s="50" t="s">
        <v>478</v>
      </c>
      <c r="D185" s="146">
        <v>73.73</v>
      </c>
      <c r="E185" s="146">
        <f t="shared" si="7"/>
        <v>294.92</v>
      </c>
      <c r="F185" s="71"/>
    </row>
    <row r="186" spans="1:6">
      <c r="A186" s="73">
        <v>1774</v>
      </c>
      <c r="B186" s="65">
        <v>1</v>
      </c>
      <c r="C186" s="50" t="s">
        <v>253</v>
      </c>
      <c r="D186" s="146">
        <v>19.77</v>
      </c>
      <c r="E186" s="146">
        <f t="shared" si="7"/>
        <v>19.77</v>
      </c>
      <c r="F186" s="71"/>
    </row>
    <row r="187" spans="1:6">
      <c r="A187" s="105">
        <v>106</v>
      </c>
      <c r="B187" s="65">
        <v>1</v>
      </c>
      <c r="C187" s="50" t="s">
        <v>26</v>
      </c>
      <c r="D187" s="146">
        <v>2.2999999999999998</v>
      </c>
      <c r="E187" s="146">
        <f t="shared" si="7"/>
        <v>2.2999999999999998</v>
      </c>
      <c r="F187" s="71"/>
    </row>
    <row r="188" spans="1:6">
      <c r="A188" s="73">
        <v>9306</v>
      </c>
      <c r="B188" s="65">
        <v>1</v>
      </c>
      <c r="C188" s="50" t="s">
        <v>486</v>
      </c>
      <c r="D188" s="146">
        <v>45.2</v>
      </c>
      <c r="E188" s="146">
        <f t="shared" si="7"/>
        <v>45.2</v>
      </c>
      <c r="F188" s="71"/>
    </row>
    <row r="189" spans="1:6">
      <c r="A189" s="73">
        <v>9358</v>
      </c>
      <c r="B189" s="65">
        <v>1</v>
      </c>
      <c r="C189" s="50" t="s">
        <v>487</v>
      </c>
      <c r="D189" s="146">
        <v>31.05</v>
      </c>
      <c r="E189" s="146">
        <f t="shared" si="7"/>
        <v>31.05</v>
      </c>
      <c r="F189" s="71"/>
    </row>
    <row r="190" spans="1:6">
      <c r="A190" s="96"/>
      <c r="B190" s="49"/>
      <c r="C190" s="47"/>
      <c r="D190" s="147"/>
      <c r="E190" s="147"/>
      <c r="F190" s="70">
        <f>SUM(E172:F189)</f>
        <v>1346.85</v>
      </c>
    </row>
    <row r="191" spans="1:6">
      <c r="A191" s="118"/>
      <c r="B191" s="103"/>
      <c r="C191" s="113"/>
      <c r="D191" s="148"/>
      <c r="E191" s="148"/>
      <c r="F191" s="89"/>
    </row>
    <row r="192" spans="1:6">
      <c r="A192" s="117"/>
      <c r="B192" s="59" t="s">
        <v>106</v>
      </c>
      <c r="C192" s="116" t="s">
        <v>464</v>
      </c>
      <c r="D192" s="149"/>
      <c r="E192" s="149"/>
      <c r="F192" s="99"/>
    </row>
    <row r="193" spans="1:6">
      <c r="A193" s="98" t="s">
        <v>91</v>
      </c>
      <c r="B193" s="97" t="s">
        <v>504</v>
      </c>
      <c r="C193" s="54" t="s">
        <v>133</v>
      </c>
      <c r="D193" s="145" t="s">
        <v>17</v>
      </c>
      <c r="E193" s="145" t="s">
        <v>503</v>
      </c>
      <c r="F193" s="53" t="s">
        <v>16</v>
      </c>
    </row>
    <row r="194" spans="1:6">
      <c r="A194" s="73">
        <v>1002</v>
      </c>
      <c r="B194" s="65">
        <v>2</v>
      </c>
      <c r="C194" s="50" t="s">
        <v>176</v>
      </c>
      <c r="D194" s="146">
        <v>7.28</v>
      </c>
      <c r="E194" s="146">
        <f t="shared" ref="E194:E216" si="8">PRODUCT(B194,D194)</f>
        <v>14.56</v>
      </c>
      <c r="F194" s="71"/>
    </row>
    <row r="195" spans="1:6">
      <c r="A195" s="73">
        <v>1104</v>
      </c>
      <c r="B195" s="65">
        <v>1</v>
      </c>
      <c r="C195" s="50" t="s">
        <v>77</v>
      </c>
      <c r="D195" s="146">
        <v>34.68</v>
      </c>
      <c r="E195" s="146">
        <f t="shared" si="8"/>
        <v>34.68</v>
      </c>
      <c r="F195" s="71"/>
    </row>
    <row r="196" spans="1:6">
      <c r="A196" s="73">
        <v>1152</v>
      </c>
      <c r="B196" s="65">
        <v>1</v>
      </c>
      <c r="C196" s="50" t="s">
        <v>83</v>
      </c>
      <c r="D196" s="146">
        <v>9.2200000000000006</v>
      </c>
      <c r="E196" s="146">
        <f t="shared" si="8"/>
        <v>9.2200000000000006</v>
      </c>
      <c r="F196" s="71"/>
    </row>
    <row r="197" spans="1:6">
      <c r="A197" s="73">
        <v>6113</v>
      </c>
      <c r="B197" s="65">
        <v>1</v>
      </c>
      <c r="C197" s="50" t="s">
        <v>374</v>
      </c>
      <c r="D197" s="146">
        <v>46.33</v>
      </c>
      <c r="E197" s="146">
        <f t="shared" si="8"/>
        <v>46.33</v>
      </c>
      <c r="F197" s="71"/>
    </row>
    <row r="198" spans="1:6">
      <c r="A198" s="73">
        <v>6118</v>
      </c>
      <c r="B198" s="65">
        <v>2</v>
      </c>
      <c r="C198" s="50" t="s">
        <v>377</v>
      </c>
      <c r="D198" s="146">
        <v>6.18</v>
      </c>
      <c r="E198" s="146">
        <f t="shared" si="8"/>
        <v>12.36</v>
      </c>
      <c r="F198" s="71"/>
    </row>
    <row r="199" spans="1:6">
      <c r="A199" s="115">
        <v>9957</v>
      </c>
      <c r="B199" s="65">
        <v>2</v>
      </c>
      <c r="C199" s="50" t="s">
        <v>424</v>
      </c>
      <c r="D199" s="146">
        <v>53.75</v>
      </c>
      <c r="E199" s="146">
        <f t="shared" si="8"/>
        <v>107.5</v>
      </c>
      <c r="F199" s="71"/>
    </row>
    <row r="200" spans="1:6">
      <c r="A200" s="115">
        <v>9956</v>
      </c>
      <c r="B200" s="65">
        <v>2</v>
      </c>
      <c r="C200" s="50" t="s">
        <v>423</v>
      </c>
      <c r="D200" s="146">
        <v>43.6</v>
      </c>
      <c r="E200" s="146">
        <f t="shared" si="8"/>
        <v>87.2</v>
      </c>
      <c r="F200" s="71"/>
    </row>
    <row r="201" spans="1:6">
      <c r="A201" s="73">
        <v>6144</v>
      </c>
      <c r="B201" s="65">
        <v>1</v>
      </c>
      <c r="C201" s="50" t="s">
        <v>379</v>
      </c>
      <c r="D201" s="146">
        <v>19.04</v>
      </c>
      <c r="E201" s="146">
        <f t="shared" si="8"/>
        <v>19.04</v>
      </c>
      <c r="F201" s="71"/>
    </row>
    <row r="202" spans="1:6">
      <c r="A202" s="73">
        <v>1023</v>
      </c>
      <c r="B202" s="65">
        <v>1</v>
      </c>
      <c r="C202" s="50" t="s">
        <v>181</v>
      </c>
      <c r="D202" s="146">
        <v>36.5</v>
      </c>
      <c r="E202" s="146">
        <f t="shared" si="8"/>
        <v>36.5</v>
      </c>
      <c r="F202" s="71"/>
    </row>
    <row r="203" spans="1:6">
      <c r="A203" s="73">
        <v>1253</v>
      </c>
      <c r="B203" s="65">
        <v>1</v>
      </c>
      <c r="C203" s="50" t="s">
        <v>88</v>
      </c>
      <c r="D203" s="146">
        <v>14.55</v>
      </c>
      <c r="E203" s="146">
        <f t="shared" si="8"/>
        <v>14.55</v>
      </c>
      <c r="F203" s="71"/>
    </row>
    <row r="204" spans="1:6">
      <c r="A204" s="73">
        <v>1053</v>
      </c>
      <c r="B204" s="65">
        <v>1</v>
      </c>
      <c r="C204" s="50" t="s">
        <v>183</v>
      </c>
      <c r="D204" s="146">
        <v>14.55</v>
      </c>
      <c r="E204" s="146">
        <f t="shared" si="8"/>
        <v>14.55</v>
      </c>
      <c r="F204" s="71"/>
    </row>
    <row r="205" spans="1:6">
      <c r="A205" s="73">
        <v>1251</v>
      </c>
      <c r="B205" s="65">
        <v>2</v>
      </c>
      <c r="C205" s="50" t="s">
        <v>87</v>
      </c>
      <c r="D205" s="146">
        <v>9.2200000000000006</v>
      </c>
      <c r="E205" s="146">
        <f t="shared" si="8"/>
        <v>18.440000000000001</v>
      </c>
      <c r="F205" s="71"/>
    </row>
    <row r="206" spans="1:6">
      <c r="A206" s="73">
        <v>1340</v>
      </c>
      <c r="B206" s="65">
        <v>1</v>
      </c>
      <c r="C206" s="50" t="s">
        <v>214</v>
      </c>
      <c r="D206" s="146">
        <v>49.24</v>
      </c>
      <c r="E206" s="146">
        <f t="shared" si="8"/>
        <v>49.24</v>
      </c>
      <c r="F206" s="71"/>
    </row>
    <row r="207" spans="1:6">
      <c r="A207" s="73">
        <v>6161</v>
      </c>
      <c r="B207" s="65">
        <v>1</v>
      </c>
      <c r="C207" s="50" t="s">
        <v>382</v>
      </c>
      <c r="D207" s="146">
        <v>147.34</v>
      </c>
      <c r="E207" s="146">
        <f t="shared" si="8"/>
        <v>147.34</v>
      </c>
      <c r="F207" s="71"/>
    </row>
    <row r="208" spans="1:6">
      <c r="A208" s="73">
        <v>1455</v>
      </c>
      <c r="B208" s="65">
        <v>2</v>
      </c>
      <c r="C208" s="50" t="s">
        <v>223</v>
      </c>
      <c r="D208" s="146">
        <v>18.43</v>
      </c>
      <c r="E208" s="146">
        <f t="shared" si="8"/>
        <v>36.86</v>
      </c>
      <c r="F208" s="71"/>
    </row>
    <row r="209" spans="1:6">
      <c r="A209" s="73">
        <v>1951</v>
      </c>
      <c r="B209" s="65">
        <v>3</v>
      </c>
      <c r="C209" s="50" t="s">
        <v>188</v>
      </c>
      <c r="D209" s="146">
        <v>27.04</v>
      </c>
      <c r="E209" s="146">
        <f t="shared" si="8"/>
        <v>81.12</v>
      </c>
      <c r="F209" s="71"/>
    </row>
    <row r="210" spans="1:6">
      <c r="A210" s="115">
        <v>9953</v>
      </c>
      <c r="B210" s="65">
        <v>30</v>
      </c>
      <c r="C210" s="50" t="s">
        <v>426</v>
      </c>
      <c r="D210" s="146">
        <v>4.95</v>
      </c>
      <c r="E210" s="146">
        <f t="shared" si="8"/>
        <v>148.5</v>
      </c>
      <c r="F210" s="71"/>
    </row>
    <row r="211" spans="1:6">
      <c r="A211" s="73">
        <v>1540</v>
      </c>
      <c r="B211" s="65">
        <v>1</v>
      </c>
      <c r="C211" s="50" t="s">
        <v>230</v>
      </c>
      <c r="D211" s="146">
        <v>54.21</v>
      </c>
      <c r="E211" s="146">
        <f t="shared" si="8"/>
        <v>54.21</v>
      </c>
      <c r="F211" s="71"/>
    </row>
    <row r="212" spans="1:6">
      <c r="A212" s="73">
        <v>6490</v>
      </c>
      <c r="B212" s="65">
        <v>2</v>
      </c>
      <c r="C212" s="50" t="s">
        <v>478</v>
      </c>
      <c r="D212" s="146">
        <v>73.73</v>
      </c>
      <c r="E212" s="146">
        <f t="shared" si="8"/>
        <v>147.46</v>
      </c>
      <c r="F212" s="71"/>
    </row>
    <row r="213" spans="1:6">
      <c r="A213" s="73">
        <v>1774</v>
      </c>
      <c r="B213" s="65">
        <v>2</v>
      </c>
      <c r="C213" s="50" t="s">
        <v>253</v>
      </c>
      <c r="D213" s="146">
        <v>19.77</v>
      </c>
      <c r="E213" s="146">
        <f t="shared" si="8"/>
        <v>39.54</v>
      </c>
      <c r="F213" s="71"/>
    </row>
    <row r="214" spans="1:6">
      <c r="A214" s="105">
        <v>106</v>
      </c>
      <c r="B214" s="65">
        <v>1</v>
      </c>
      <c r="C214" s="50" t="s">
        <v>26</v>
      </c>
      <c r="D214" s="146">
        <v>2.2999999999999998</v>
      </c>
      <c r="E214" s="146">
        <f t="shared" si="8"/>
        <v>2.2999999999999998</v>
      </c>
      <c r="F214" s="71"/>
    </row>
    <row r="215" spans="1:6">
      <c r="A215" s="73">
        <v>9306</v>
      </c>
      <c r="B215" s="65">
        <v>2</v>
      </c>
      <c r="C215" s="50" t="s">
        <v>486</v>
      </c>
      <c r="D215" s="146">
        <v>45.2</v>
      </c>
      <c r="E215" s="146">
        <f t="shared" si="8"/>
        <v>90.4</v>
      </c>
      <c r="F215" s="71"/>
    </row>
    <row r="216" spans="1:6">
      <c r="A216" s="73">
        <v>9358</v>
      </c>
      <c r="B216" s="65">
        <v>2</v>
      </c>
      <c r="C216" s="50" t="s">
        <v>487</v>
      </c>
      <c r="D216" s="146">
        <v>31.05</v>
      </c>
      <c r="E216" s="146">
        <f t="shared" si="8"/>
        <v>62.1</v>
      </c>
      <c r="F216" s="71"/>
    </row>
    <row r="217" spans="1:6">
      <c r="A217" s="96"/>
      <c r="B217" s="49"/>
      <c r="C217" s="47"/>
      <c r="D217" s="147"/>
      <c r="E217" s="147"/>
      <c r="F217" s="70">
        <f>SUM(E194:F216)</f>
        <v>1274</v>
      </c>
    </row>
    <row r="218" spans="1:6">
      <c r="A218" s="118"/>
      <c r="B218" s="103"/>
      <c r="C218" s="113"/>
      <c r="D218" s="148"/>
      <c r="E218" s="148"/>
      <c r="F218" s="89"/>
    </row>
    <row r="219" spans="1:6">
      <c r="A219" s="117"/>
      <c r="B219" s="59" t="s">
        <v>106</v>
      </c>
      <c r="C219" s="116" t="s">
        <v>463</v>
      </c>
      <c r="D219" s="149"/>
      <c r="E219" s="149"/>
      <c r="F219" s="99"/>
    </row>
    <row r="220" spans="1:6">
      <c r="A220" s="98" t="s">
        <v>91</v>
      </c>
      <c r="B220" s="97" t="s">
        <v>504</v>
      </c>
      <c r="C220" s="54" t="s">
        <v>133</v>
      </c>
      <c r="D220" s="145" t="s">
        <v>17</v>
      </c>
      <c r="E220" s="145" t="s">
        <v>503</v>
      </c>
      <c r="F220" s="53" t="s">
        <v>16</v>
      </c>
    </row>
    <row r="221" spans="1:6">
      <c r="A221" s="73">
        <v>1002</v>
      </c>
      <c r="B221" s="65">
        <v>2</v>
      </c>
      <c r="C221" s="50" t="s">
        <v>176</v>
      </c>
      <c r="D221" s="146">
        <v>7.28</v>
      </c>
      <c r="E221" s="146">
        <f t="shared" ref="E221:E243" si="9">PRODUCT(B221,D221)</f>
        <v>14.56</v>
      </c>
      <c r="F221" s="71"/>
    </row>
    <row r="222" spans="1:6">
      <c r="A222" s="73">
        <v>1104</v>
      </c>
      <c r="B222" s="65">
        <v>1</v>
      </c>
      <c r="C222" s="50" t="s">
        <v>77</v>
      </c>
      <c r="D222" s="146">
        <v>34.68</v>
      </c>
      <c r="E222" s="146">
        <f t="shared" si="9"/>
        <v>34.68</v>
      </c>
      <c r="F222" s="71"/>
    </row>
    <row r="223" spans="1:6">
      <c r="A223" s="73">
        <v>1152</v>
      </c>
      <c r="B223" s="65">
        <v>1</v>
      </c>
      <c r="C223" s="50" t="s">
        <v>83</v>
      </c>
      <c r="D223" s="146">
        <v>9.2200000000000006</v>
      </c>
      <c r="E223" s="146">
        <f t="shared" si="9"/>
        <v>9.2200000000000006</v>
      </c>
      <c r="F223" s="71"/>
    </row>
    <row r="224" spans="1:6">
      <c r="A224" s="73">
        <v>6113</v>
      </c>
      <c r="B224" s="65">
        <v>1</v>
      </c>
      <c r="C224" s="50" t="s">
        <v>374</v>
      </c>
      <c r="D224" s="146">
        <v>46.33</v>
      </c>
      <c r="E224" s="146">
        <f t="shared" si="9"/>
        <v>46.33</v>
      </c>
      <c r="F224" s="71"/>
    </row>
    <row r="225" spans="1:6">
      <c r="A225" s="73">
        <v>6118</v>
      </c>
      <c r="B225" s="65">
        <v>3</v>
      </c>
      <c r="C225" s="50" t="s">
        <v>377</v>
      </c>
      <c r="D225" s="146">
        <v>6.18</v>
      </c>
      <c r="E225" s="146">
        <f t="shared" si="9"/>
        <v>18.54</v>
      </c>
      <c r="F225" s="71"/>
    </row>
    <row r="226" spans="1:6">
      <c r="A226" s="115">
        <v>9957</v>
      </c>
      <c r="B226" s="65">
        <v>3</v>
      </c>
      <c r="C226" s="50" t="s">
        <v>424</v>
      </c>
      <c r="D226" s="146">
        <v>53.75</v>
      </c>
      <c r="E226" s="146">
        <f t="shared" si="9"/>
        <v>161.25</v>
      </c>
      <c r="F226" s="71"/>
    </row>
    <row r="227" spans="1:6">
      <c r="A227" s="115">
        <v>9956</v>
      </c>
      <c r="B227" s="65">
        <v>3</v>
      </c>
      <c r="C227" s="50" t="s">
        <v>423</v>
      </c>
      <c r="D227" s="146">
        <v>43.6</v>
      </c>
      <c r="E227" s="146">
        <f t="shared" si="9"/>
        <v>130.80000000000001</v>
      </c>
      <c r="F227" s="71"/>
    </row>
    <row r="228" spans="1:6">
      <c r="A228" s="73">
        <v>6144</v>
      </c>
      <c r="B228" s="65">
        <v>1</v>
      </c>
      <c r="C228" s="50" t="s">
        <v>379</v>
      </c>
      <c r="D228" s="146">
        <v>19.04</v>
      </c>
      <c r="E228" s="146">
        <f t="shared" si="9"/>
        <v>19.04</v>
      </c>
      <c r="F228" s="71"/>
    </row>
    <row r="229" spans="1:6">
      <c r="A229" s="73">
        <v>1023</v>
      </c>
      <c r="B229" s="65">
        <v>1</v>
      </c>
      <c r="C229" s="50" t="s">
        <v>181</v>
      </c>
      <c r="D229" s="146">
        <v>36.5</v>
      </c>
      <c r="E229" s="146">
        <f t="shared" si="9"/>
        <v>36.5</v>
      </c>
      <c r="F229" s="71"/>
    </row>
    <row r="230" spans="1:6">
      <c r="A230" s="73">
        <v>1253</v>
      </c>
      <c r="B230" s="65">
        <v>1</v>
      </c>
      <c r="C230" s="50" t="s">
        <v>88</v>
      </c>
      <c r="D230" s="146">
        <v>14.55</v>
      </c>
      <c r="E230" s="146">
        <f t="shared" si="9"/>
        <v>14.55</v>
      </c>
      <c r="F230" s="71"/>
    </row>
    <row r="231" spans="1:6">
      <c r="A231" s="73">
        <v>1053</v>
      </c>
      <c r="B231" s="65">
        <v>1</v>
      </c>
      <c r="C231" s="50" t="s">
        <v>183</v>
      </c>
      <c r="D231" s="146">
        <v>14.55</v>
      </c>
      <c r="E231" s="146">
        <f t="shared" si="9"/>
        <v>14.55</v>
      </c>
      <c r="F231" s="71"/>
    </row>
    <row r="232" spans="1:6">
      <c r="A232" s="73">
        <v>1251</v>
      </c>
      <c r="B232" s="65">
        <v>2</v>
      </c>
      <c r="C232" s="50" t="s">
        <v>87</v>
      </c>
      <c r="D232" s="146">
        <v>9.2200000000000006</v>
      </c>
      <c r="E232" s="146">
        <f t="shared" si="9"/>
        <v>18.440000000000001</v>
      </c>
      <c r="F232" s="71"/>
    </row>
    <row r="233" spans="1:6">
      <c r="A233" s="73">
        <v>1340</v>
      </c>
      <c r="B233" s="65">
        <v>1</v>
      </c>
      <c r="C233" s="50" t="s">
        <v>214</v>
      </c>
      <c r="D233" s="146">
        <v>49.24</v>
      </c>
      <c r="E233" s="146">
        <f t="shared" si="9"/>
        <v>49.24</v>
      </c>
      <c r="F233" s="71"/>
    </row>
    <row r="234" spans="1:6">
      <c r="A234" s="73">
        <v>6161</v>
      </c>
      <c r="B234" s="65">
        <v>1</v>
      </c>
      <c r="C234" s="50" t="s">
        <v>382</v>
      </c>
      <c r="D234" s="146">
        <v>147.34</v>
      </c>
      <c r="E234" s="146">
        <f t="shared" si="9"/>
        <v>147.34</v>
      </c>
      <c r="F234" s="71"/>
    </row>
    <row r="235" spans="1:6">
      <c r="A235" s="73">
        <v>1455</v>
      </c>
      <c r="B235" s="65">
        <v>2</v>
      </c>
      <c r="C235" s="50" t="s">
        <v>223</v>
      </c>
      <c r="D235" s="146">
        <v>18.43</v>
      </c>
      <c r="E235" s="146">
        <f t="shared" si="9"/>
        <v>36.86</v>
      </c>
      <c r="F235" s="71"/>
    </row>
    <row r="236" spans="1:6">
      <c r="A236" s="73">
        <v>1951</v>
      </c>
      <c r="B236" s="65">
        <v>4</v>
      </c>
      <c r="C236" s="50" t="s">
        <v>188</v>
      </c>
      <c r="D236" s="146">
        <v>27.04</v>
      </c>
      <c r="E236" s="146">
        <f t="shared" si="9"/>
        <v>108.16</v>
      </c>
      <c r="F236" s="71"/>
    </row>
    <row r="237" spans="1:6">
      <c r="A237" s="115">
        <v>9953</v>
      </c>
      <c r="B237" s="65">
        <v>40</v>
      </c>
      <c r="C237" s="50" t="s">
        <v>426</v>
      </c>
      <c r="D237" s="146">
        <v>4.95</v>
      </c>
      <c r="E237" s="146">
        <f t="shared" si="9"/>
        <v>198</v>
      </c>
      <c r="F237" s="71"/>
    </row>
    <row r="238" spans="1:6">
      <c r="A238" s="73">
        <v>1540</v>
      </c>
      <c r="B238" s="65">
        <v>1</v>
      </c>
      <c r="C238" s="50" t="s">
        <v>230</v>
      </c>
      <c r="D238" s="146">
        <v>54.21</v>
      </c>
      <c r="E238" s="146">
        <f t="shared" si="9"/>
        <v>54.21</v>
      </c>
      <c r="F238" s="71"/>
    </row>
    <row r="239" spans="1:6">
      <c r="A239" s="73">
        <v>6490</v>
      </c>
      <c r="B239" s="65">
        <v>3</v>
      </c>
      <c r="C239" s="50" t="s">
        <v>478</v>
      </c>
      <c r="D239" s="146">
        <v>73.73</v>
      </c>
      <c r="E239" s="146">
        <f t="shared" si="9"/>
        <v>221.19</v>
      </c>
      <c r="F239" s="71"/>
    </row>
    <row r="240" spans="1:6">
      <c r="A240" s="73">
        <v>1774</v>
      </c>
      <c r="B240" s="65">
        <v>2</v>
      </c>
      <c r="C240" s="50" t="s">
        <v>253</v>
      </c>
      <c r="D240" s="146">
        <v>19.77</v>
      </c>
      <c r="E240" s="146">
        <f t="shared" si="9"/>
        <v>39.54</v>
      </c>
      <c r="F240" s="71"/>
    </row>
    <row r="241" spans="1:6">
      <c r="A241" s="105">
        <v>106</v>
      </c>
      <c r="B241" s="65">
        <v>1</v>
      </c>
      <c r="C241" s="50" t="s">
        <v>26</v>
      </c>
      <c r="D241" s="146">
        <v>2.2999999999999998</v>
      </c>
      <c r="E241" s="146">
        <f t="shared" si="9"/>
        <v>2.2999999999999998</v>
      </c>
      <c r="F241" s="71"/>
    </row>
    <row r="242" spans="1:6">
      <c r="A242" s="73">
        <v>9306</v>
      </c>
      <c r="B242" s="65">
        <v>2</v>
      </c>
      <c r="C242" s="50" t="s">
        <v>486</v>
      </c>
      <c r="D242" s="146">
        <v>45.2</v>
      </c>
      <c r="E242" s="146">
        <f t="shared" si="9"/>
        <v>90.4</v>
      </c>
      <c r="F242" s="71"/>
    </row>
    <row r="243" spans="1:6">
      <c r="A243" s="73">
        <v>9358</v>
      </c>
      <c r="B243" s="65">
        <v>2</v>
      </c>
      <c r="C243" s="50" t="s">
        <v>487</v>
      </c>
      <c r="D243" s="146">
        <v>31.05</v>
      </c>
      <c r="E243" s="146">
        <f t="shared" si="9"/>
        <v>62.1</v>
      </c>
      <c r="F243" s="71"/>
    </row>
    <row r="244" spans="1:6">
      <c r="A244" s="96"/>
      <c r="B244" s="49"/>
      <c r="C244" s="47"/>
      <c r="D244" s="147"/>
      <c r="E244" s="147"/>
      <c r="F244" s="70">
        <f>SUM(E221:F243)</f>
        <v>1527.8</v>
      </c>
    </row>
    <row r="245" spans="1:6">
      <c r="A245" s="118"/>
      <c r="B245" s="103"/>
      <c r="C245" s="113"/>
      <c r="D245" s="148"/>
      <c r="E245" s="148"/>
      <c r="F245" s="89"/>
    </row>
    <row r="246" spans="1:6">
      <c r="A246" s="117"/>
      <c r="B246" s="59" t="s">
        <v>106</v>
      </c>
      <c r="C246" s="116" t="s">
        <v>462</v>
      </c>
      <c r="D246" s="149"/>
      <c r="E246" s="149"/>
      <c r="F246" s="99"/>
    </row>
    <row r="247" spans="1:6">
      <c r="A247" s="98" t="s">
        <v>91</v>
      </c>
      <c r="B247" s="97" t="s">
        <v>504</v>
      </c>
      <c r="C247" s="54" t="s">
        <v>133</v>
      </c>
      <c r="D247" s="145" t="s">
        <v>17</v>
      </c>
      <c r="E247" s="145" t="s">
        <v>503</v>
      </c>
      <c r="F247" s="53" t="s">
        <v>16</v>
      </c>
    </row>
    <row r="248" spans="1:6">
      <c r="A248" s="73">
        <v>1002</v>
      </c>
      <c r="B248" s="65">
        <v>2</v>
      </c>
      <c r="C248" s="50" t="s">
        <v>176</v>
      </c>
      <c r="D248" s="146">
        <v>7.28</v>
      </c>
      <c r="E248" s="146">
        <f t="shared" ref="E248:E269" si="10">PRODUCT(B248,D248)</f>
        <v>14.56</v>
      </c>
      <c r="F248" s="71"/>
    </row>
    <row r="249" spans="1:6">
      <c r="A249" s="73">
        <v>1104</v>
      </c>
      <c r="B249" s="65">
        <v>1</v>
      </c>
      <c r="C249" s="50" t="s">
        <v>77</v>
      </c>
      <c r="D249" s="146">
        <v>34.68</v>
      </c>
      <c r="E249" s="146">
        <f t="shared" si="10"/>
        <v>34.68</v>
      </c>
      <c r="F249" s="71"/>
    </row>
    <row r="250" spans="1:6">
      <c r="A250" s="73">
        <v>1152</v>
      </c>
      <c r="B250" s="65">
        <v>1</v>
      </c>
      <c r="C250" s="50" t="s">
        <v>83</v>
      </c>
      <c r="D250" s="146">
        <v>9.2200000000000006</v>
      </c>
      <c r="E250" s="146">
        <f t="shared" si="10"/>
        <v>9.2200000000000006</v>
      </c>
      <c r="F250" s="71"/>
    </row>
    <row r="251" spans="1:6">
      <c r="A251" s="73">
        <v>6113</v>
      </c>
      <c r="B251" s="65">
        <v>1</v>
      </c>
      <c r="C251" s="50" t="s">
        <v>374</v>
      </c>
      <c r="D251" s="146">
        <v>46.33</v>
      </c>
      <c r="E251" s="146">
        <f t="shared" si="10"/>
        <v>46.33</v>
      </c>
      <c r="F251" s="71"/>
    </row>
    <row r="252" spans="1:6">
      <c r="A252" s="73">
        <v>6118</v>
      </c>
      <c r="B252" s="65">
        <v>4</v>
      </c>
      <c r="C252" s="50" t="s">
        <v>377</v>
      </c>
      <c r="D252" s="146">
        <v>6.18</v>
      </c>
      <c r="E252" s="146">
        <f t="shared" si="10"/>
        <v>24.72</v>
      </c>
      <c r="F252" s="71"/>
    </row>
    <row r="253" spans="1:6">
      <c r="A253" s="115">
        <v>9957</v>
      </c>
      <c r="B253" s="65">
        <v>4</v>
      </c>
      <c r="C253" s="50" t="s">
        <v>424</v>
      </c>
      <c r="D253" s="146">
        <v>53.75</v>
      </c>
      <c r="E253" s="146">
        <f t="shared" si="10"/>
        <v>215</v>
      </c>
      <c r="F253" s="71"/>
    </row>
    <row r="254" spans="1:6">
      <c r="A254" s="115">
        <v>9956</v>
      </c>
      <c r="B254" s="65">
        <v>4</v>
      </c>
      <c r="C254" s="50" t="s">
        <v>423</v>
      </c>
      <c r="D254" s="146">
        <v>43.6</v>
      </c>
      <c r="E254" s="146">
        <f t="shared" si="10"/>
        <v>174.4</v>
      </c>
      <c r="F254" s="71"/>
    </row>
    <row r="255" spans="1:6">
      <c r="A255" s="73">
        <v>6144</v>
      </c>
      <c r="B255" s="65">
        <v>1</v>
      </c>
      <c r="C255" s="50" t="s">
        <v>379</v>
      </c>
      <c r="D255" s="146">
        <v>19.04</v>
      </c>
      <c r="E255" s="146">
        <f t="shared" si="10"/>
        <v>19.04</v>
      </c>
      <c r="F255" s="71"/>
    </row>
    <row r="256" spans="1:6">
      <c r="A256" s="73">
        <v>1253</v>
      </c>
      <c r="B256" s="65">
        <v>1</v>
      </c>
      <c r="C256" s="50" t="s">
        <v>88</v>
      </c>
      <c r="D256" s="146">
        <v>14.55</v>
      </c>
      <c r="E256" s="146">
        <f t="shared" si="10"/>
        <v>14.55</v>
      </c>
      <c r="F256" s="71"/>
    </row>
    <row r="257" spans="1:6">
      <c r="A257" s="73">
        <v>1053</v>
      </c>
      <c r="B257" s="65">
        <v>1</v>
      </c>
      <c r="C257" s="50" t="s">
        <v>183</v>
      </c>
      <c r="D257" s="146">
        <v>14.55</v>
      </c>
      <c r="E257" s="146">
        <f t="shared" si="10"/>
        <v>14.55</v>
      </c>
      <c r="F257" s="71"/>
    </row>
    <row r="258" spans="1:6">
      <c r="A258" s="73">
        <v>1251</v>
      </c>
      <c r="B258" s="65">
        <v>2</v>
      </c>
      <c r="C258" s="50" t="s">
        <v>87</v>
      </c>
      <c r="D258" s="146">
        <v>9.2200000000000006</v>
      </c>
      <c r="E258" s="146">
        <f t="shared" si="10"/>
        <v>18.440000000000001</v>
      </c>
      <c r="F258" s="71"/>
    </row>
    <row r="259" spans="1:6">
      <c r="A259" s="73">
        <v>1340</v>
      </c>
      <c r="B259" s="65">
        <v>1</v>
      </c>
      <c r="C259" s="50" t="s">
        <v>214</v>
      </c>
      <c r="D259" s="146">
        <v>49.24</v>
      </c>
      <c r="E259" s="146">
        <f t="shared" si="10"/>
        <v>49.24</v>
      </c>
      <c r="F259" s="71"/>
    </row>
    <row r="260" spans="1:6">
      <c r="A260" s="73">
        <v>6161</v>
      </c>
      <c r="B260" s="65">
        <v>1</v>
      </c>
      <c r="C260" s="50" t="s">
        <v>382</v>
      </c>
      <c r="D260" s="146">
        <v>147.34</v>
      </c>
      <c r="E260" s="146">
        <f t="shared" si="10"/>
        <v>147.34</v>
      </c>
      <c r="F260" s="71"/>
    </row>
    <row r="261" spans="1:6">
      <c r="A261" s="73">
        <v>1455</v>
      </c>
      <c r="B261" s="65">
        <v>2</v>
      </c>
      <c r="C261" s="50" t="s">
        <v>223</v>
      </c>
      <c r="D261" s="146">
        <v>18.43</v>
      </c>
      <c r="E261" s="146">
        <f t="shared" si="10"/>
        <v>36.86</v>
      </c>
      <c r="F261" s="71"/>
    </row>
    <row r="262" spans="1:6">
      <c r="A262" s="73">
        <v>1951</v>
      </c>
      <c r="B262" s="65">
        <v>5</v>
      </c>
      <c r="C262" s="50" t="s">
        <v>188</v>
      </c>
      <c r="D262" s="146">
        <v>27.04</v>
      </c>
      <c r="E262" s="146">
        <f t="shared" si="10"/>
        <v>135.19999999999999</v>
      </c>
      <c r="F262" s="71"/>
    </row>
    <row r="263" spans="1:6">
      <c r="A263" s="115">
        <v>9953</v>
      </c>
      <c r="B263" s="65">
        <v>50</v>
      </c>
      <c r="C263" s="50" t="s">
        <v>426</v>
      </c>
      <c r="D263" s="146">
        <v>4.95</v>
      </c>
      <c r="E263" s="146">
        <f t="shared" si="10"/>
        <v>247.5</v>
      </c>
      <c r="F263" s="71"/>
    </row>
    <row r="264" spans="1:6">
      <c r="A264" s="73">
        <v>1540</v>
      </c>
      <c r="B264" s="65">
        <v>1</v>
      </c>
      <c r="C264" s="50" t="s">
        <v>230</v>
      </c>
      <c r="D264" s="146">
        <v>54.21</v>
      </c>
      <c r="E264" s="146">
        <f t="shared" si="10"/>
        <v>54.21</v>
      </c>
      <c r="F264" s="71"/>
    </row>
    <row r="265" spans="1:6">
      <c r="A265" s="73">
        <v>6490</v>
      </c>
      <c r="B265" s="65">
        <v>4</v>
      </c>
      <c r="C265" s="50" t="s">
        <v>478</v>
      </c>
      <c r="D265" s="146">
        <v>73.73</v>
      </c>
      <c r="E265" s="146">
        <f t="shared" si="10"/>
        <v>294.92</v>
      </c>
      <c r="F265" s="71"/>
    </row>
    <row r="266" spans="1:6">
      <c r="A266" s="73">
        <v>1774</v>
      </c>
      <c r="B266" s="65">
        <v>2</v>
      </c>
      <c r="C266" s="50" t="s">
        <v>253</v>
      </c>
      <c r="D266" s="146">
        <v>19.77</v>
      </c>
      <c r="E266" s="146">
        <f t="shared" si="10"/>
        <v>39.54</v>
      </c>
      <c r="F266" s="71"/>
    </row>
    <row r="267" spans="1:6">
      <c r="A267" s="105">
        <v>106</v>
      </c>
      <c r="B267" s="65">
        <v>1</v>
      </c>
      <c r="C267" s="50" t="s">
        <v>26</v>
      </c>
      <c r="D267" s="146">
        <v>2.2999999999999998</v>
      </c>
      <c r="E267" s="146">
        <f t="shared" si="10"/>
        <v>2.2999999999999998</v>
      </c>
      <c r="F267" s="71"/>
    </row>
    <row r="268" spans="1:6">
      <c r="A268" s="73">
        <v>9306</v>
      </c>
      <c r="B268" s="65">
        <v>2</v>
      </c>
      <c r="C268" s="50" t="s">
        <v>486</v>
      </c>
      <c r="D268" s="146">
        <v>45.2</v>
      </c>
      <c r="E268" s="146">
        <f t="shared" si="10"/>
        <v>90.4</v>
      </c>
      <c r="F268" s="71"/>
    </row>
    <row r="269" spans="1:6">
      <c r="A269" s="73">
        <v>9358</v>
      </c>
      <c r="B269" s="65">
        <v>2</v>
      </c>
      <c r="C269" s="50" t="s">
        <v>487</v>
      </c>
      <c r="D269" s="146">
        <v>31.05</v>
      </c>
      <c r="E269" s="146">
        <f t="shared" si="10"/>
        <v>62.1</v>
      </c>
      <c r="F269" s="71"/>
    </row>
    <row r="270" spans="1:6">
      <c r="A270" s="96"/>
      <c r="B270" s="49"/>
      <c r="C270" s="47"/>
      <c r="D270" s="147"/>
      <c r="E270" s="147"/>
      <c r="F270" s="70">
        <f>SUM(E248:F269)</f>
        <v>1745.1</v>
      </c>
    </row>
    <row r="271" spans="1:6">
      <c r="A271" s="118"/>
      <c r="B271" s="103"/>
      <c r="C271" s="113"/>
      <c r="D271" s="148"/>
      <c r="E271" s="148"/>
      <c r="F271" s="89"/>
    </row>
    <row r="272" spans="1:6">
      <c r="A272" s="122"/>
      <c r="B272" s="59" t="s">
        <v>108</v>
      </c>
      <c r="C272" s="121" t="s">
        <v>461</v>
      </c>
      <c r="D272" s="152"/>
      <c r="E272" s="152"/>
      <c r="F272" s="120"/>
    </row>
    <row r="273" spans="1:6">
      <c r="A273" s="98" t="s">
        <v>91</v>
      </c>
      <c r="B273" s="97" t="s">
        <v>504</v>
      </c>
      <c r="C273" s="54" t="s">
        <v>133</v>
      </c>
      <c r="D273" s="145" t="s">
        <v>17</v>
      </c>
      <c r="E273" s="145" t="s">
        <v>503</v>
      </c>
      <c r="F273" s="53" t="s">
        <v>16</v>
      </c>
    </row>
    <row r="274" spans="1:6">
      <c r="A274" s="73">
        <v>1002</v>
      </c>
      <c r="B274" s="65">
        <v>2</v>
      </c>
      <c r="C274" s="50" t="s">
        <v>176</v>
      </c>
      <c r="D274" s="146">
        <v>7.28</v>
      </c>
      <c r="E274" s="146">
        <f t="shared" ref="E274:E291" si="11">PRODUCT(B274,D274)</f>
        <v>14.56</v>
      </c>
      <c r="F274" s="71"/>
    </row>
    <row r="275" spans="1:6">
      <c r="A275" s="73">
        <v>6113</v>
      </c>
      <c r="B275" s="65">
        <v>1</v>
      </c>
      <c r="C275" s="50" t="s">
        <v>374</v>
      </c>
      <c r="D275" s="146">
        <v>46.33</v>
      </c>
      <c r="E275" s="146">
        <f t="shared" si="11"/>
        <v>46.33</v>
      </c>
      <c r="F275" s="71"/>
    </row>
    <row r="276" spans="1:6">
      <c r="A276" s="73">
        <v>6118</v>
      </c>
      <c r="B276" s="65">
        <v>4</v>
      </c>
      <c r="C276" s="50" t="s">
        <v>377</v>
      </c>
      <c r="D276" s="146">
        <v>6.18</v>
      </c>
      <c r="E276" s="146">
        <f t="shared" si="11"/>
        <v>24.72</v>
      </c>
      <c r="F276" s="71"/>
    </row>
    <row r="277" spans="1:6">
      <c r="A277" s="115">
        <v>9957</v>
      </c>
      <c r="B277" s="65">
        <v>4</v>
      </c>
      <c r="C277" s="50" t="s">
        <v>424</v>
      </c>
      <c r="D277" s="146">
        <v>53.75</v>
      </c>
      <c r="E277" s="146">
        <f t="shared" si="11"/>
        <v>215</v>
      </c>
      <c r="F277" s="71"/>
    </row>
    <row r="278" spans="1:6">
      <c r="A278" s="115">
        <v>9956</v>
      </c>
      <c r="B278" s="65">
        <v>4</v>
      </c>
      <c r="C278" s="50" t="s">
        <v>423</v>
      </c>
      <c r="D278" s="146">
        <v>43.6</v>
      </c>
      <c r="E278" s="146">
        <f t="shared" si="11"/>
        <v>174.4</v>
      </c>
      <c r="F278" s="71"/>
    </row>
    <row r="279" spans="1:6">
      <c r="A279" s="73">
        <v>6144</v>
      </c>
      <c r="B279" s="65">
        <v>1</v>
      </c>
      <c r="C279" s="50" t="s">
        <v>379</v>
      </c>
      <c r="D279" s="146">
        <v>19.04</v>
      </c>
      <c r="E279" s="146">
        <f t="shared" si="11"/>
        <v>19.04</v>
      </c>
      <c r="F279" s="71"/>
    </row>
    <row r="280" spans="1:6">
      <c r="A280" s="73">
        <v>1023</v>
      </c>
      <c r="B280" s="65">
        <v>1</v>
      </c>
      <c r="C280" s="50" t="s">
        <v>181</v>
      </c>
      <c r="D280" s="146">
        <v>36.5</v>
      </c>
      <c r="E280" s="146">
        <f t="shared" si="11"/>
        <v>36.5</v>
      </c>
      <c r="F280" s="71"/>
    </row>
    <row r="281" spans="1:6">
      <c r="A281" s="73">
        <v>1053</v>
      </c>
      <c r="B281" s="65">
        <v>1</v>
      </c>
      <c r="C281" s="50" t="s">
        <v>183</v>
      </c>
      <c r="D281" s="146">
        <v>14.55</v>
      </c>
      <c r="E281" s="146">
        <f t="shared" si="11"/>
        <v>14.55</v>
      </c>
      <c r="F281" s="71"/>
    </row>
    <row r="282" spans="1:6">
      <c r="A282" s="73">
        <v>1251</v>
      </c>
      <c r="B282" s="65">
        <v>1</v>
      </c>
      <c r="C282" s="50" t="s">
        <v>87</v>
      </c>
      <c r="D282" s="146">
        <v>9.2200000000000006</v>
      </c>
      <c r="E282" s="146">
        <f t="shared" si="11"/>
        <v>9.2200000000000006</v>
      </c>
      <c r="F282" s="71"/>
    </row>
    <row r="283" spans="1:6">
      <c r="A283" s="73">
        <v>6161</v>
      </c>
      <c r="B283" s="65">
        <v>1</v>
      </c>
      <c r="C283" s="50" t="s">
        <v>382</v>
      </c>
      <c r="D283" s="146">
        <v>147.34</v>
      </c>
      <c r="E283" s="146">
        <f t="shared" si="11"/>
        <v>147.34</v>
      </c>
      <c r="F283" s="71"/>
    </row>
    <row r="284" spans="1:6">
      <c r="A284" s="73">
        <v>1455</v>
      </c>
      <c r="B284" s="65">
        <v>1</v>
      </c>
      <c r="C284" s="50" t="s">
        <v>223</v>
      </c>
      <c r="D284" s="146">
        <v>18.43</v>
      </c>
      <c r="E284" s="146">
        <f t="shared" si="11"/>
        <v>18.43</v>
      </c>
      <c r="F284" s="71"/>
    </row>
    <row r="285" spans="1:6">
      <c r="A285" s="73">
        <v>1951</v>
      </c>
      <c r="B285" s="65">
        <v>5</v>
      </c>
      <c r="C285" s="50" t="s">
        <v>188</v>
      </c>
      <c r="D285" s="146">
        <v>27.04</v>
      </c>
      <c r="E285" s="146">
        <f t="shared" si="11"/>
        <v>135.19999999999999</v>
      </c>
      <c r="F285" s="71"/>
    </row>
    <row r="286" spans="1:6">
      <c r="A286" s="115">
        <v>9953</v>
      </c>
      <c r="B286" s="65">
        <v>60</v>
      </c>
      <c r="C286" s="50" t="s">
        <v>426</v>
      </c>
      <c r="D286" s="146">
        <v>4.95</v>
      </c>
      <c r="E286" s="146">
        <f t="shared" si="11"/>
        <v>297</v>
      </c>
      <c r="F286" s="71"/>
    </row>
    <row r="287" spans="1:6">
      <c r="A287" s="73">
        <v>6490</v>
      </c>
      <c r="B287" s="65">
        <v>4</v>
      </c>
      <c r="C287" s="50" t="s">
        <v>478</v>
      </c>
      <c r="D287" s="146">
        <v>73.73</v>
      </c>
      <c r="E287" s="146">
        <f t="shared" si="11"/>
        <v>294.92</v>
      </c>
      <c r="F287" s="71"/>
    </row>
    <row r="288" spans="1:6">
      <c r="A288" s="73">
        <v>1774</v>
      </c>
      <c r="B288" s="65">
        <v>1</v>
      </c>
      <c r="C288" s="50" t="s">
        <v>253</v>
      </c>
      <c r="D288" s="146">
        <v>19.77</v>
      </c>
      <c r="E288" s="146">
        <f t="shared" si="11"/>
        <v>19.77</v>
      </c>
      <c r="F288" s="71"/>
    </row>
    <row r="289" spans="1:6">
      <c r="A289" s="105">
        <v>106</v>
      </c>
      <c r="B289" s="65">
        <v>1</v>
      </c>
      <c r="C289" s="50" t="s">
        <v>26</v>
      </c>
      <c r="D289" s="146">
        <v>2.2999999999999998</v>
      </c>
      <c r="E289" s="146">
        <f t="shared" si="11"/>
        <v>2.2999999999999998</v>
      </c>
      <c r="F289" s="71"/>
    </row>
    <row r="290" spans="1:6">
      <c r="A290" s="73">
        <v>9306</v>
      </c>
      <c r="B290" s="65">
        <v>2</v>
      </c>
      <c r="C290" s="50" t="s">
        <v>486</v>
      </c>
      <c r="D290" s="146">
        <v>45.2</v>
      </c>
      <c r="E290" s="146">
        <f t="shared" si="11"/>
        <v>90.4</v>
      </c>
      <c r="F290" s="71"/>
    </row>
    <row r="291" spans="1:6">
      <c r="A291" s="73">
        <v>9358</v>
      </c>
      <c r="B291" s="65">
        <v>2</v>
      </c>
      <c r="C291" s="50" t="s">
        <v>487</v>
      </c>
      <c r="D291" s="146">
        <v>31.05</v>
      </c>
      <c r="E291" s="146">
        <f t="shared" si="11"/>
        <v>62.1</v>
      </c>
      <c r="F291" s="71"/>
    </row>
    <row r="292" spans="1:6">
      <c r="A292" s="96"/>
      <c r="B292" s="49"/>
      <c r="C292" s="47"/>
      <c r="D292" s="147"/>
      <c r="E292" s="147"/>
      <c r="F292" s="70">
        <f>SUM(E274:F291)</f>
        <v>1621.78</v>
      </c>
    </row>
    <row r="293" spans="1:6">
      <c r="A293" s="118"/>
      <c r="B293" s="103"/>
      <c r="C293" s="113"/>
      <c r="D293" s="148"/>
      <c r="E293" s="148"/>
      <c r="F293" s="89"/>
    </row>
    <row r="294" spans="1:6">
      <c r="A294" s="117"/>
      <c r="B294" s="59" t="s">
        <v>108</v>
      </c>
      <c r="C294" s="116" t="s">
        <v>460</v>
      </c>
      <c r="D294" s="149"/>
      <c r="E294" s="149"/>
      <c r="F294" s="99"/>
    </row>
    <row r="295" spans="1:6">
      <c r="A295" s="98" t="s">
        <v>91</v>
      </c>
      <c r="B295" s="97" t="s">
        <v>504</v>
      </c>
      <c r="C295" s="54" t="s">
        <v>133</v>
      </c>
      <c r="D295" s="145" t="s">
        <v>17</v>
      </c>
      <c r="E295" s="145" t="s">
        <v>503</v>
      </c>
      <c r="F295" s="53" t="s">
        <v>16</v>
      </c>
    </row>
    <row r="296" spans="1:6">
      <c r="A296" s="73">
        <v>1002</v>
      </c>
      <c r="B296" s="65">
        <v>2</v>
      </c>
      <c r="C296" s="50" t="s">
        <v>176</v>
      </c>
      <c r="D296" s="146">
        <v>7.28</v>
      </c>
      <c r="E296" s="146">
        <f t="shared" ref="E296:E313" si="12">PRODUCT(B296,D296)</f>
        <v>14.56</v>
      </c>
      <c r="F296" s="71"/>
    </row>
    <row r="297" spans="1:6">
      <c r="A297" s="73">
        <v>6113</v>
      </c>
      <c r="B297" s="65">
        <v>1</v>
      </c>
      <c r="C297" s="50" t="s">
        <v>374</v>
      </c>
      <c r="D297" s="146">
        <v>46.33</v>
      </c>
      <c r="E297" s="146">
        <f t="shared" si="12"/>
        <v>46.33</v>
      </c>
      <c r="F297" s="71"/>
    </row>
    <row r="298" spans="1:6">
      <c r="A298" s="73">
        <v>6118</v>
      </c>
      <c r="B298" s="65">
        <v>6</v>
      </c>
      <c r="C298" s="50" t="s">
        <v>377</v>
      </c>
      <c r="D298" s="146">
        <v>6.18</v>
      </c>
      <c r="E298" s="146">
        <f t="shared" si="12"/>
        <v>37.08</v>
      </c>
      <c r="F298" s="71"/>
    </row>
    <row r="299" spans="1:6">
      <c r="A299" s="115">
        <v>9957</v>
      </c>
      <c r="B299" s="65">
        <v>6</v>
      </c>
      <c r="C299" s="50" t="s">
        <v>424</v>
      </c>
      <c r="D299" s="146">
        <v>53.75</v>
      </c>
      <c r="E299" s="146">
        <f t="shared" si="12"/>
        <v>322.5</v>
      </c>
      <c r="F299" s="71"/>
    </row>
    <row r="300" spans="1:6">
      <c r="A300" s="115">
        <v>9956</v>
      </c>
      <c r="B300" s="65">
        <v>6</v>
      </c>
      <c r="C300" s="50" t="s">
        <v>423</v>
      </c>
      <c r="D300" s="146">
        <v>43.6</v>
      </c>
      <c r="E300" s="146">
        <f t="shared" si="12"/>
        <v>261.60000000000002</v>
      </c>
      <c r="F300" s="71"/>
    </row>
    <row r="301" spans="1:6">
      <c r="A301" s="73">
        <v>6144</v>
      </c>
      <c r="B301" s="65">
        <v>1</v>
      </c>
      <c r="C301" s="50" t="s">
        <v>379</v>
      </c>
      <c r="D301" s="146">
        <v>19.04</v>
      </c>
      <c r="E301" s="146">
        <f t="shared" si="12"/>
        <v>19.04</v>
      </c>
      <c r="F301" s="71"/>
    </row>
    <row r="302" spans="1:6">
      <c r="A302" s="73">
        <v>1023</v>
      </c>
      <c r="B302" s="65">
        <v>1</v>
      </c>
      <c r="C302" s="50" t="s">
        <v>181</v>
      </c>
      <c r="D302" s="146">
        <v>36.5</v>
      </c>
      <c r="E302" s="146">
        <f t="shared" si="12"/>
        <v>36.5</v>
      </c>
      <c r="F302" s="71"/>
    </row>
    <row r="303" spans="1:6">
      <c r="A303" s="73">
        <v>1053</v>
      </c>
      <c r="B303" s="65">
        <v>1</v>
      </c>
      <c r="C303" s="50" t="s">
        <v>183</v>
      </c>
      <c r="D303" s="146">
        <v>14.55</v>
      </c>
      <c r="E303" s="146">
        <f t="shared" si="12"/>
        <v>14.55</v>
      </c>
      <c r="F303" s="71"/>
    </row>
    <row r="304" spans="1:6">
      <c r="A304" s="73">
        <v>1251</v>
      </c>
      <c r="B304" s="65">
        <v>1</v>
      </c>
      <c r="C304" s="50" t="s">
        <v>87</v>
      </c>
      <c r="D304" s="146">
        <v>9.2200000000000006</v>
      </c>
      <c r="E304" s="146">
        <f t="shared" si="12"/>
        <v>9.2200000000000006</v>
      </c>
      <c r="F304" s="71"/>
    </row>
    <row r="305" spans="1:6">
      <c r="A305" s="73">
        <v>6161</v>
      </c>
      <c r="B305" s="65">
        <v>1</v>
      </c>
      <c r="C305" s="50" t="s">
        <v>382</v>
      </c>
      <c r="D305" s="146">
        <v>147.34</v>
      </c>
      <c r="E305" s="146">
        <f t="shared" si="12"/>
        <v>147.34</v>
      </c>
      <c r="F305" s="71"/>
    </row>
    <row r="306" spans="1:6">
      <c r="A306" s="73">
        <v>1455</v>
      </c>
      <c r="B306" s="65">
        <v>1</v>
      </c>
      <c r="C306" s="50" t="s">
        <v>223</v>
      </c>
      <c r="D306" s="146">
        <v>18.43</v>
      </c>
      <c r="E306" s="146">
        <f t="shared" si="12"/>
        <v>18.43</v>
      </c>
      <c r="F306" s="71"/>
    </row>
    <row r="307" spans="1:6">
      <c r="A307" s="73">
        <v>1951</v>
      </c>
      <c r="B307" s="65">
        <v>6</v>
      </c>
      <c r="C307" s="50" t="s">
        <v>188</v>
      </c>
      <c r="D307" s="146">
        <v>27.04</v>
      </c>
      <c r="E307" s="146">
        <f t="shared" si="12"/>
        <v>162.24</v>
      </c>
      <c r="F307" s="71"/>
    </row>
    <row r="308" spans="1:6">
      <c r="A308" s="115">
        <v>9953</v>
      </c>
      <c r="B308" s="65">
        <v>60</v>
      </c>
      <c r="C308" s="50" t="s">
        <v>426</v>
      </c>
      <c r="D308" s="146">
        <v>4.95</v>
      </c>
      <c r="E308" s="146">
        <f t="shared" si="12"/>
        <v>297</v>
      </c>
      <c r="F308" s="71"/>
    </row>
    <row r="309" spans="1:6">
      <c r="A309" s="73">
        <v>6490</v>
      </c>
      <c r="B309" s="65">
        <v>6</v>
      </c>
      <c r="C309" s="50" t="s">
        <v>478</v>
      </c>
      <c r="D309" s="146">
        <v>73.73</v>
      </c>
      <c r="E309" s="146">
        <f t="shared" si="12"/>
        <v>442.38</v>
      </c>
      <c r="F309" s="71"/>
    </row>
    <row r="310" spans="1:6">
      <c r="A310" s="73">
        <v>1774</v>
      </c>
      <c r="B310" s="65">
        <v>1</v>
      </c>
      <c r="C310" s="50" t="s">
        <v>253</v>
      </c>
      <c r="D310" s="146">
        <v>19.77</v>
      </c>
      <c r="E310" s="146">
        <f t="shared" si="12"/>
        <v>19.77</v>
      </c>
      <c r="F310" s="71"/>
    </row>
    <row r="311" spans="1:6">
      <c r="A311" s="105">
        <v>106</v>
      </c>
      <c r="B311" s="65">
        <v>1</v>
      </c>
      <c r="C311" s="50" t="s">
        <v>26</v>
      </c>
      <c r="D311" s="146">
        <v>2.2999999999999998</v>
      </c>
      <c r="E311" s="146">
        <f t="shared" si="12"/>
        <v>2.2999999999999998</v>
      </c>
      <c r="F311" s="71"/>
    </row>
    <row r="312" spans="1:6">
      <c r="A312" s="73">
        <v>9306</v>
      </c>
      <c r="B312" s="65">
        <v>2</v>
      </c>
      <c r="C312" s="50" t="s">
        <v>486</v>
      </c>
      <c r="D312" s="146">
        <v>45.2</v>
      </c>
      <c r="E312" s="146">
        <f t="shared" si="12"/>
        <v>90.4</v>
      </c>
      <c r="F312" s="71"/>
    </row>
    <row r="313" spans="1:6">
      <c r="A313" s="73">
        <v>9358</v>
      </c>
      <c r="B313" s="65">
        <v>2</v>
      </c>
      <c r="C313" s="50" t="s">
        <v>487</v>
      </c>
      <c r="D313" s="146">
        <v>31.05</v>
      </c>
      <c r="E313" s="146">
        <f t="shared" si="12"/>
        <v>62.1</v>
      </c>
      <c r="F313" s="71"/>
    </row>
    <row r="314" spans="1:6">
      <c r="A314" s="96"/>
      <c r="B314" s="49"/>
      <c r="C314" s="47"/>
      <c r="D314" s="147"/>
      <c r="E314" s="147"/>
      <c r="F314" s="70">
        <f>SUM(E296:F313)</f>
        <v>2003.34</v>
      </c>
    </row>
    <row r="315" spans="1:6">
      <c r="A315" s="119"/>
    </row>
    <row r="316" spans="1:6">
      <c r="A316" s="117"/>
      <c r="B316" s="59" t="s">
        <v>107</v>
      </c>
      <c r="C316" s="116" t="s">
        <v>527</v>
      </c>
      <c r="D316" s="149"/>
      <c r="E316" s="149"/>
      <c r="F316" s="99"/>
    </row>
    <row r="317" spans="1:6">
      <c r="A317" s="98" t="s">
        <v>91</v>
      </c>
      <c r="B317" s="97" t="s">
        <v>504</v>
      </c>
      <c r="C317" s="54" t="s">
        <v>133</v>
      </c>
      <c r="D317" s="145" t="s">
        <v>17</v>
      </c>
      <c r="E317" s="145" t="s">
        <v>503</v>
      </c>
      <c r="F317" s="53" t="s">
        <v>16</v>
      </c>
    </row>
    <row r="318" spans="1:6">
      <c r="A318" s="73">
        <v>1002</v>
      </c>
      <c r="B318" s="65">
        <v>2</v>
      </c>
      <c r="C318" s="50" t="s">
        <v>176</v>
      </c>
      <c r="D318" s="146">
        <v>7.28</v>
      </c>
      <c r="E318" s="146">
        <f t="shared" ref="E318:E335" si="13">PRODUCT(B318,D318)</f>
        <v>14.56</v>
      </c>
      <c r="F318" s="71"/>
    </row>
    <row r="319" spans="1:6">
      <c r="A319" s="73">
        <v>6113</v>
      </c>
      <c r="B319" s="65">
        <v>1</v>
      </c>
      <c r="C319" s="50" t="s">
        <v>374</v>
      </c>
      <c r="D319" s="146">
        <v>46.33</v>
      </c>
      <c r="E319" s="146">
        <f t="shared" si="13"/>
        <v>46.33</v>
      </c>
      <c r="F319" s="71"/>
    </row>
    <row r="320" spans="1:6">
      <c r="A320" s="73">
        <v>6118</v>
      </c>
      <c r="B320" s="65">
        <v>2</v>
      </c>
      <c r="C320" s="50" t="s">
        <v>377</v>
      </c>
      <c r="D320" s="146">
        <v>6.18</v>
      </c>
      <c r="E320" s="146">
        <f t="shared" si="13"/>
        <v>12.36</v>
      </c>
      <c r="F320" s="71"/>
    </row>
    <row r="321" spans="1:6">
      <c r="A321" s="115">
        <v>9957</v>
      </c>
      <c r="B321" s="65">
        <v>2</v>
      </c>
      <c r="C321" s="50" t="s">
        <v>424</v>
      </c>
      <c r="D321" s="146">
        <v>53.75</v>
      </c>
      <c r="E321" s="146">
        <f t="shared" si="13"/>
        <v>107.5</v>
      </c>
      <c r="F321" s="71"/>
    </row>
    <row r="322" spans="1:6">
      <c r="A322" s="115">
        <v>9956</v>
      </c>
      <c r="B322" s="65">
        <v>2</v>
      </c>
      <c r="C322" s="50" t="s">
        <v>423</v>
      </c>
      <c r="D322" s="146">
        <v>43.6</v>
      </c>
      <c r="E322" s="146">
        <f t="shared" si="13"/>
        <v>87.2</v>
      </c>
      <c r="F322" s="71"/>
    </row>
    <row r="323" spans="1:6">
      <c r="A323" s="73">
        <v>6144</v>
      </c>
      <c r="B323" s="65">
        <v>1</v>
      </c>
      <c r="C323" s="50" t="s">
        <v>379</v>
      </c>
      <c r="D323" s="146">
        <v>19.04</v>
      </c>
      <c r="E323" s="146">
        <f t="shared" si="13"/>
        <v>19.04</v>
      </c>
      <c r="F323" s="71"/>
    </row>
    <row r="324" spans="1:6">
      <c r="A324" s="73">
        <v>1023</v>
      </c>
      <c r="B324" s="65">
        <v>1</v>
      </c>
      <c r="C324" s="50" t="s">
        <v>181</v>
      </c>
      <c r="D324" s="146">
        <v>36.5</v>
      </c>
      <c r="E324" s="146">
        <f t="shared" si="13"/>
        <v>36.5</v>
      </c>
      <c r="F324" s="71"/>
    </row>
    <row r="325" spans="1:6">
      <c r="A325" s="73">
        <v>1053</v>
      </c>
      <c r="B325" s="65">
        <v>1</v>
      </c>
      <c r="C325" s="50" t="s">
        <v>183</v>
      </c>
      <c r="D325" s="146">
        <v>14.55</v>
      </c>
      <c r="E325" s="146">
        <f t="shared" si="13"/>
        <v>14.55</v>
      </c>
      <c r="F325" s="71"/>
    </row>
    <row r="326" spans="1:6">
      <c r="A326" s="73">
        <v>1251</v>
      </c>
      <c r="B326" s="65">
        <v>1</v>
      </c>
      <c r="C326" s="50" t="s">
        <v>87</v>
      </c>
      <c r="D326" s="146">
        <v>9.2200000000000006</v>
      </c>
      <c r="E326" s="146">
        <f t="shared" si="13"/>
        <v>9.2200000000000006</v>
      </c>
      <c r="F326" s="71"/>
    </row>
    <row r="327" spans="1:6">
      <c r="A327" s="73">
        <v>6161</v>
      </c>
      <c r="B327" s="65">
        <v>1</v>
      </c>
      <c r="C327" s="50" t="s">
        <v>382</v>
      </c>
      <c r="D327" s="146">
        <v>147.34</v>
      </c>
      <c r="E327" s="146">
        <f t="shared" si="13"/>
        <v>147.34</v>
      </c>
      <c r="F327" s="71"/>
    </row>
    <row r="328" spans="1:6">
      <c r="A328" s="73">
        <v>1455</v>
      </c>
      <c r="B328" s="65">
        <v>1</v>
      </c>
      <c r="C328" s="50" t="s">
        <v>223</v>
      </c>
      <c r="D328" s="146">
        <v>18.43</v>
      </c>
      <c r="E328" s="146">
        <f t="shared" si="13"/>
        <v>18.43</v>
      </c>
      <c r="F328" s="71"/>
    </row>
    <row r="329" spans="1:6">
      <c r="A329" s="73">
        <v>1951</v>
      </c>
      <c r="B329" s="65">
        <v>3</v>
      </c>
      <c r="C329" s="50" t="s">
        <v>188</v>
      </c>
      <c r="D329" s="146">
        <v>27.04</v>
      </c>
      <c r="E329" s="146">
        <f t="shared" si="13"/>
        <v>81.12</v>
      </c>
      <c r="F329" s="71"/>
    </row>
    <row r="330" spans="1:6">
      <c r="A330" s="115">
        <v>9953</v>
      </c>
      <c r="B330" s="65">
        <v>30</v>
      </c>
      <c r="C330" s="50" t="s">
        <v>426</v>
      </c>
      <c r="D330" s="146">
        <v>4.95</v>
      </c>
      <c r="E330" s="146">
        <f t="shared" si="13"/>
        <v>148.5</v>
      </c>
      <c r="F330" s="71"/>
    </row>
    <row r="331" spans="1:6">
      <c r="A331" s="73">
        <v>6490</v>
      </c>
      <c r="B331" s="65">
        <v>2</v>
      </c>
      <c r="C331" s="50" t="s">
        <v>478</v>
      </c>
      <c r="D331" s="146">
        <v>73.73</v>
      </c>
      <c r="E331" s="146">
        <f t="shared" si="13"/>
        <v>147.46</v>
      </c>
      <c r="F331" s="71"/>
    </row>
    <row r="332" spans="1:6">
      <c r="A332" s="73">
        <v>1774</v>
      </c>
      <c r="B332" s="65">
        <v>1</v>
      </c>
      <c r="C332" s="50" t="s">
        <v>253</v>
      </c>
      <c r="D332" s="146">
        <v>19.77</v>
      </c>
      <c r="E332" s="146">
        <f t="shared" si="13"/>
        <v>19.77</v>
      </c>
      <c r="F332" s="71"/>
    </row>
    <row r="333" spans="1:6">
      <c r="A333" s="105">
        <v>106</v>
      </c>
      <c r="B333" s="65">
        <v>1</v>
      </c>
      <c r="C333" s="50" t="s">
        <v>26</v>
      </c>
      <c r="D333" s="146">
        <v>2.2999999999999998</v>
      </c>
      <c r="E333" s="146">
        <f t="shared" si="13"/>
        <v>2.2999999999999998</v>
      </c>
      <c r="F333" s="71"/>
    </row>
    <row r="334" spans="1:6">
      <c r="A334" s="73">
        <v>9306</v>
      </c>
      <c r="B334" s="65">
        <v>2</v>
      </c>
      <c r="C334" s="50" t="s">
        <v>486</v>
      </c>
      <c r="D334" s="146">
        <v>45.2</v>
      </c>
      <c r="E334" s="146">
        <f t="shared" si="13"/>
        <v>90.4</v>
      </c>
      <c r="F334" s="71"/>
    </row>
    <row r="335" spans="1:6">
      <c r="A335" s="73">
        <v>9358</v>
      </c>
      <c r="B335" s="65">
        <v>2</v>
      </c>
      <c r="C335" s="50" t="s">
        <v>487</v>
      </c>
      <c r="D335" s="146">
        <v>31.05</v>
      </c>
      <c r="E335" s="146">
        <f t="shared" si="13"/>
        <v>62.1</v>
      </c>
      <c r="F335" s="71"/>
    </row>
    <row r="336" spans="1:6">
      <c r="A336" s="96"/>
      <c r="B336" s="49"/>
      <c r="C336" s="47"/>
      <c r="D336" s="147"/>
      <c r="E336" s="147"/>
      <c r="F336" s="70">
        <f>SUM(E318:F335)</f>
        <v>1064.6799999999998</v>
      </c>
    </row>
    <row r="337" spans="1:6">
      <c r="A337" s="118"/>
      <c r="B337" s="103"/>
      <c r="C337" s="113"/>
      <c r="D337" s="148"/>
      <c r="E337" s="148"/>
      <c r="F337" s="89"/>
    </row>
    <row r="338" spans="1:6">
      <c r="A338" s="117"/>
      <c r="B338" s="59" t="s">
        <v>107</v>
      </c>
      <c r="C338" s="116" t="s">
        <v>526</v>
      </c>
      <c r="D338" s="149"/>
      <c r="E338" s="149"/>
      <c r="F338" s="99"/>
    </row>
    <row r="339" spans="1:6">
      <c r="A339" s="98" t="s">
        <v>91</v>
      </c>
      <c r="B339" s="97" t="s">
        <v>504</v>
      </c>
      <c r="C339" s="54" t="s">
        <v>133</v>
      </c>
      <c r="D339" s="145" t="s">
        <v>17</v>
      </c>
      <c r="E339" s="145" t="s">
        <v>503</v>
      </c>
      <c r="F339" s="53" t="s">
        <v>16</v>
      </c>
    </row>
    <row r="340" spans="1:6">
      <c r="A340" s="73">
        <v>1002</v>
      </c>
      <c r="B340" s="65">
        <v>2</v>
      </c>
      <c r="C340" s="50" t="s">
        <v>176</v>
      </c>
      <c r="D340" s="146">
        <v>7.28</v>
      </c>
      <c r="E340" s="146">
        <f t="shared" ref="E340:E357" si="14">PRODUCT(B340,D340)</f>
        <v>14.56</v>
      </c>
      <c r="F340" s="71"/>
    </row>
    <row r="341" spans="1:6">
      <c r="A341" s="73">
        <v>6113</v>
      </c>
      <c r="B341" s="65">
        <v>1</v>
      </c>
      <c r="C341" s="50" t="s">
        <v>374</v>
      </c>
      <c r="D341" s="146">
        <v>46.33</v>
      </c>
      <c r="E341" s="146">
        <f t="shared" si="14"/>
        <v>46.33</v>
      </c>
      <c r="F341" s="71"/>
    </row>
    <row r="342" spans="1:6">
      <c r="A342" s="73">
        <v>6118</v>
      </c>
      <c r="B342" s="65">
        <v>3</v>
      </c>
      <c r="C342" s="50" t="s">
        <v>377</v>
      </c>
      <c r="D342" s="146">
        <v>6.18</v>
      </c>
      <c r="E342" s="146">
        <f t="shared" si="14"/>
        <v>18.54</v>
      </c>
      <c r="F342" s="71"/>
    </row>
    <row r="343" spans="1:6">
      <c r="A343" s="115">
        <v>9957</v>
      </c>
      <c r="B343" s="65">
        <v>3</v>
      </c>
      <c r="C343" s="50" t="s">
        <v>424</v>
      </c>
      <c r="D343" s="146">
        <v>53.75</v>
      </c>
      <c r="E343" s="146">
        <f t="shared" si="14"/>
        <v>161.25</v>
      </c>
      <c r="F343" s="71"/>
    </row>
    <row r="344" spans="1:6">
      <c r="A344" s="115">
        <v>9956</v>
      </c>
      <c r="B344" s="65">
        <v>3</v>
      </c>
      <c r="C344" s="50" t="s">
        <v>423</v>
      </c>
      <c r="D344" s="146">
        <v>43.6</v>
      </c>
      <c r="E344" s="146">
        <f t="shared" si="14"/>
        <v>130.80000000000001</v>
      </c>
      <c r="F344" s="71"/>
    </row>
    <row r="345" spans="1:6">
      <c r="A345" s="73">
        <v>6144</v>
      </c>
      <c r="B345" s="65">
        <v>1</v>
      </c>
      <c r="C345" s="50" t="s">
        <v>379</v>
      </c>
      <c r="D345" s="146">
        <v>19.04</v>
      </c>
      <c r="E345" s="146">
        <f t="shared" si="14"/>
        <v>19.04</v>
      </c>
      <c r="F345" s="71"/>
    </row>
    <row r="346" spans="1:6">
      <c r="A346" s="73">
        <v>1023</v>
      </c>
      <c r="B346" s="65">
        <v>1</v>
      </c>
      <c r="C346" s="50" t="s">
        <v>181</v>
      </c>
      <c r="D346" s="146">
        <v>36.5</v>
      </c>
      <c r="E346" s="146">
        <f t="shared" si="14"/>
        <v>36.5</v>
      </c>
      <c r="F346" s="71"/>
    </row>
    <row r="347" spans="1:6">
      <c r="A347" s="73">
        <v>1053</v>
      </c>
      <c r="B347" s="65">
        <v>1</v>
      </c>
      <c r="C347" s="50" t="s">
        <v>183</v>
      </c>
      <c r="D347" s="146">
        <v>14.55</v>
      </c>
      <c r="E347" s="146">
        <f t="shared" si="14"/>
        <v>14.55</v>
      </c>
      <c r="F347" s="71"/>
    </row>
    <row r="348" spans="1:6">
      <c r="A348" s="73">
        <v>1251</v>
      </c>
      <c r="B348" s="65">
        <v>1</v>
      </c>
      <c r="C348" s="50" t="s">
        <v>87</v>
      </c>
      <c r="D348" s="146">
        <v>9.2200000000000006</v>
      </c>
      <c r="E348" s="146">
        <f t="shared" si="14"/>
        <v>9.2200000000000006</v>
      </c>
      <c r="F348" s="71"/>
    </row>
    <row r="349" spans="1:6">
      <c r="A349" s="73">
        <v>6161</v>
      </c>
      <c r="B349" s="65">
        <v>1</v>
      </c>
      <c r="C349" s="50" t="s">
        <v>382</v>
      </c>
      <c r="D349" s="146">
        <v>147.34</v>
      </c>
      <c r="E349" s="146">
        <f t="shared" si="14"/>
        <v>147.34</v>
      </c>
      <c r="F349" s="71"/>
    </row>
    <row r="350" spans="1:6">
      <c r="A350" s="73">
        <v>1455</v>
      </c>
      <c r="B350" s="65">
        <v>1</v>
      </c>
      <c r="C350" s="50" t="s">
        <v>223</v>
      </c>
      <c r="D350" s="146">
        <v>18.43</v>
      </c>
      <c r="E350" s="146">
        <f t="shared" si="14"/>
        <v>18.43</v>
      </c>
      <c r="F350" s="71"/>
    </row>
    <row r="351" spans="1:6">
      <c r="A351" s="73">
        <v>1951</v>
      </c>
      <c r="B351" s="65">
        <v>4</v>
      </c>
      <c r="C351" s="50" t="s">
        <v>188</v>
      </c>
      <c r="D351" s="146">
        <v>27.04</v>
      </c>
      <c r="E351" s="146">
        <f t="shared" si="14"/>
        <v>108.16</v>
      </c>
      <c r="F351" s="71"/>
    </row>
    <row r="352" spans="1:6">
      <c r="A352" s="115">
        <v>9953</v>
      </c>
      <c r="B352" s="65">
        <v>40</v>
      </c>
      <c r="C352" s="50" t="s">
        <v>426</v>
      </c>
      <c r="D352" s="146">
        <v>4.95</v>
      </c>
      <c r="E352" s="146">
        <f t="shared" si="14"/>
        <v>198</v>
      </c>
      <c r="F352" s="71"/>
    </row>
    <row r="353" spans="1:6">
      <c r="A353" s="73">
        <v>6490</v>
      </c>
      <c r="B353" s="65">
        <v>3</v>
      </c>
      <c r="C353" s="50" t="s">
        <v>478</v>
      </c>
      <c r="D353" s="146">
        <v>73.73</v>
      </c>
      <c r="E353" s="146">
        <f t="shared" si="14"/>
        <v>221.19</v>
      </c>
      <c r="F353" s="71"/>
    </row>
    <row r="354" spans="1:6">
      <c r="A354" s="73">
        <v>1774</v>
      </c>
      <c r="B354" s="65">
        <v>1</v>
      </c>
      <c r="C354" s="50" t="s">
        <v>253</v>
      </c>
      <c r="D354" s="146">
        <v>19.77</v>
      </c>
      <c r="E354" s="146">
        <f t="shared" si="14"/>
        <v>19.77</v>
      </c>
      <c r="F354" s="71"/>
    </row>
    <row r="355" spans="1:6">
      <c r="A355" s="105">
        <v>106</v>
      </c>
      <c r="B355" s="65">
        <v>1</v>
      </c>
      <c r="C355" s="50" t="s">
        <v>26</v>
      </c>
      <c r="D355" s="146">
        <v>2.2999999999999998</v>
      </c>
      <c r="E355" s="146">
        <f t="shared" si="14"/>
        <v>2.2999999999999998</v>
      </c>
      <c r="F355" s="71"/>
    </row>
    <row r="356" spans="1:6">
      <c r="A356" s="73">
        <v>9306</v>
      </c>
      <c r="B356" s="65">
        <v>2</v>
      </c>
      <c r="C356" s="50" t="s">
        <v>486</v>
      </c>
      <c r="D356" s="146">
        <v>45.2</v>
      </c>
      <c r="E356" s="146">
        <f t="shared" si="14"/>
        <v>90.4</v>
      </c>
      <c r="F356" s="71"/>
    </row>
    <row r="357" spans="1:6">
      <c r="A357" s="73">
        <v>9358</v>
      </c>
      <c r="B357" s="65">
        <v>2</v>
      </c>
      <c r="C357" s="50" t="s">
        <v>487</v>
      </c>
      <c r="D357" s="146">
        <v>31.05</v>
      </c>
      <c r="E357" s="146">
        <f t="shared" si="14"/>
        <v>62.1</v>
      </c>
      <c r="F357" s="71"/>
    </row>
    <row r="358" spans="1:6">
      <c r="A358" s="96"/>
      <c r="B358" s="49"/>
      <c r="C358" s="47"/>
      <c r="D358" s="147"/>
      <c r="E358" s="147"/>
      <c r="F358" s="70">
        <f>SUM(E340:F357)</f>
        <v>1318.48</v>
      </c>
    </row>
    <row r="359" spans="1:6">
      <c r="A359" s="118"/>
      <c r="B359" s="103"/>
      <c r="C359" s="113"/>
      <c r="D359" s="148"/>
      <c r="E359" s="148"/>
      <c r="F359" s="89"/>
    </row>
    <row r="360" spans="1:6">
      <c r="A360" s="117"/>
      <c r="B360" s="59" t="s">
        <v>107</v>
      </c>
      <c r="C360" s="116" t="s">
        <v>525</v>
      </c>
      <c r="D360" s="149"/>
      <c r="E360" s="149"/>
      <c r="F360" s="99"/>
    </row>
    <row r="361" spans="1:6">
      <c r="A361" s="98" t="s">
        <v>91</v>
      </c>
      <c r="B361" s="97" t="s">
        <v>504</v>
      </c>
      <c r="C361" s="54" t="s">
        <v>133</v>
      </c>
      <c r="D361" s="145" t="s">
        <v>17</v>
      </c>
      <c r="E361" s="145" t="s">
        <v>503</v>
      </c>
      <c r="F361" s="53" t="s">
        <v>16</v>
      </c>
    </row>
    <row r="362" spans="1:6">
      <c r="A362" s="73">
        <v>1002</v>
      </c>
      <c r="B362" s="65">
        <v>2</v>
      </c>
      <c r="C362" s="50" t="s">
        <v>176</v>
      </c>
      <c r="D362" s="146">
        <v>7.28</v>
      </c>
      <c r="E362" s="146">
        <f t="shared" ref="E362:E379" si="15">PRODUCT(B362,D362)</f>
        <v>14.56</v>
      </c>
      <c r="F362" s="71"/>
    </row>
    <row r="363" spans="1:6">
      <c r="A363" s="73">
        <v>6113</v>
      </c>
      <c r="B363" s="65">
        <v>1</v>
      </c>
      <c r="C363" s="50" t="s">
        <v>374</v>
      </c>
      <c r="D363" s="146">
        <v>46.33</v>
      </c>
      <c r="E363" s="146">
        <f t="shared" si="15"/>
        <v>46.33</v>
      </c>
      <c r="F363" s="71"/>
    </row>
    <row r="364" spans="1:6">
      <c r="A364" s="73">
        <v>6118</v>
      </c>
      <c r="B364" s="65">
        <v>4</v>
      </c>
      <c r="C364" s="50" t="s">
        <v>377</v>
      </c>
      <c r="D364" s="146">
        <v>6.18</v>
      </c>
      <c r="E364" s="146">
        <f t="shared" si="15"/>
        <v>24.72</v>
      </c>
      <c r="F364" s="71"/>
    </row>
    <row r="365" spans="1:6">
      <c r="A365" s="115">
        <v>9957</v>
      </c>
      <c r="B365" s="65">
        <v>4</v>
      </c>
      <c r="C365" s="50" t="s">
        <v>424</v>
      </c>
      <c r="D365" s="146">
        <v>53.75</v>
      </c>
      <c r="E365" s="146">
        <f t="shared" si="15"/>
        <v>215</v>
      </c>
      <c r="F365" s="71"/>
    </row>
    <row r="366" spans="1:6">
      <c r="A366" s="115">
        <v>9956</v>
      </c>
      <c r="B366" s="65">
        <v>4</v>
      </c>
      <c r="C366" s="50" t="s">
        <v>423</v>
      </c>
      <c r="D366" s="146">
        <v>43.6</v>
      </c>
      <c r="E366" s="146">
        <f t="shared" si="15"/>
        <v>174.4</v>
      </c>
      <c r="F366" s="71"/>
    </row>
    <row r="367" spans="1:6">
      <c r="A367" s="73">
        <v>6144</v>
      </c>
      <c r="B367" s="65">
        <v>1</v>
      </c>
      <c r="C367" s="50" t="s">
        <v>379</v>
      </c>
      <c r="D367" s="146">
        <v>19.04</v>
      </c>
      <c r="E367" s="146">
        <f t="shared" si="15"/>
        <v>19.04</v>
      </c>
      <c r="F367" s="71"/>
    </row>
    <row r="368" spans="1:6">
      <c r="A368" s="73">
        <v>1023</v>
      </c>
      <c r="B368" s="65">
        <v>1</v>
      </c>
      <c r="C368" s="50" t="s">
        <v>181</v>
      </c>
      <c r="D368" s="146">
        <v>36.5</v>
      </c>
      <c r="E368" s="146">
        <f t="shared" si="15"/>
        <v>36.5</v>
      </c>
      <c r="F368" s="71"/>
    </row>
    <row r="369" spans="1:6">
      <c r="A369" s="73">
        <v>1053</v>
      </c>
      <c r="B369" s="65">
        <v>1</v>
      </c>
      <c r="C369" s="50" t="s">
        <v>183</v>
      </c>
      <c r="D369" s="146">
        <v>14.55</v>
      </c>
      <c r="E369" s="146">
        <f t="shared" si="15"/>
        <v>14.55</v>
      </c>
      <c r="F369" s="71"/>
    </row>
    <row r="370" spans="1:6">
      <c r="A370" s="73">
        <v>1251</v>
      </c>
      <c r="B370" s="65">
        <v>1</v>
      </c>
      <c r="C370" s="50" t="s">
        <v>87</v>
      </c>
      <c r="D370" s="146">
        <v>9.2200000000000006</v>
      </c>
      <c r="E370" s="146">
        <f t="shared" si="15"/>
        <v>9.2200000000000006</v>
      </c>
      <c r="F370" s="71"/>
    </row>
    <row r="371" spans="1:6">
      <c r="A371" s="73">
        <v>6161</v>
      </c>
      <c r="B371" s="65">
        <v>1</v>
      </c>
      <c r="C371" s="50" t="s">
        <v>382</v>
      </c>
      <c r="D371" s="146">
        <v>147.34</v>
      </c>
      <c r="E371" s="146">
        <f t="shared" si="15"/>
        <v>147.34</v>
      </c>
      <c r="F371" s="71"/>
    </row>
    <row r="372" spans="1:6">
      <c r="A372" s="73">
        <v>1455</v>
      </c>
      <c r="B372" s="65">
        <v>1</v>
      </c>
      <c r="C372" s="50" t="s">
        <v>223</v>
      </c>
      <c r="D372" s="146">
        <v>18.43</v>
      </c>
      <c r="E372" s="146">
        <f t="shared" si="15"/>
        <v>18.43</v>
      </c>
      <c r="F372" s="71"/>
    </row>
    <row r="373" spans="1:6">
      <c r="A373" s="73">
        <v>1951</v>
      </c>
      <c r="B373" s="65">
        <v>5</v>
      </c>
      <c r="C373" s="50" t="s">
        <v>188</v>
      </c>
      <c r="D373" s="146">
        <v>27.04</v>
      </c>
      <c r="E373" s="146">
        <f t="shared" si="15"/>
        <v>135.19999999999999</v>
      </c>
      <c r="F373" s="71"/>
    </row>
    <row r="374" spans="1:6">
      <c r="A374" s="115">
        <v>9953</v>
      </c>
      <c r="B374" s="65">
        <v>50</v>
      </c>
      <c r="C374" s="50" t="s">
        <v>426</v>
      </c>
      <c r="D374" s="146">
        <v>4.95</v>
      </c>
      <c r="E374" s="146">
        <f t="shared" si="15"/>
        <v>247.5</v>
      </c>
      <c r="F374" s="71"/>
    </row>
    <row r="375" spans="1:6">
      <c r="A375" s="73">
        <v>6490</v>
      </c>
      <c r="B375" s="65">
        <v>4</v>
      </c>
      <c r="C375" s="50" t="s">
        <v>478</v>
      </c>
      <c r="D375" s="146">
        <v>73.73</v>
      </c>
      <c r="E375" s="146">
        <f t="shared" si="15"/>
        <v>294.92</v>
      </c>
      <c r="F375" s="71"/>
    </row>
    <row r="376" spans="1:6">
      <c r="A376" s="73">
        <v>1774</v>
      </c>
      <c r="B376" s="65">
        <v>1</v>
      </c>
      <c r="C376" s="50" t="s">
        <v>253</v>
      </c>
      <c r="D376" s="146">
        <v>19.77</v>
      </c>
      <c r="E376" s="146">
        <f t="shared" si="15"/>
        <v>19.77</v>
      </c>
      <c r="F376" s="71"/>
    </row>
    <row r="377" spans="1:6">
      <c r="A377" s="105">
        <v>106</v>
      </c>
      <c r="B377" s="65">
        <v>1</v>
      </c>
      <c r="C377" s="50" t="s">
        <v>26</v>
      </c>
      <c r="D377" s="146">
        <v>2.2999999999999998</v>
      </c>
      <c r="E377" s="146">
        <f t="shared" si="15"/>
        <v>2.2999999999999998</v>
      </c>
      <c r="F377" s="71"/>
    </row>
    <row r="378" spans="1:6">
      <c r="A378" s="73">
        <v>9306</v>
      </c>
      <c r="B378" s="65">
        <v>2</v>
      </c>
      <c r="C378" s="50" t="s">
        <v>486</v>
      </c>
      <c r="D378" s="146">
        <v>45.2</v>
      </c>
      <c r="E378" s="146">
        <f t="shared" si="15"/>
        <v>90.4</v>
      </c>
      <c r="F378" s="71"/>
    </row>
    <row r="379" spans="1:6">
      <c r="A379" s="73">
        <v>9358</v>
      </c>
      <c r="B379" s="65">
        <v>2</v>
      </c>
      <c r="C379" s="50" t="s">
        <v>487</v>
      </c>
      <c r="D379" s="146">
        <v>31.05</v>
      </c>
      <c r="E379" s="146">
        <f t="shared" si="15"/>
        <v>62.1</v>
      </c>
      <c r="F379" s="71"/>
    </row>
    <row r="380" spans="1:6">
      <c r="A380" s="96"/>
      <c r="B380" s="49"/>
      <c r="C380" s="47"/>
      <c r="D380" s="147"/>
      <c r="E380" s="147"/>
      <c r="F380" s="70">
        <f>SUM(E362:F379)</f>
        <v>1572.28</v>
      </c>
    </row>
    <row r="381" spans="1:6" ht="15.75">
      <c r="A381" s="86"/>
      <c r="F381" s="85"/>
    </row>
    <row r="382" spans="1:6" ht="15.75">
      <c r="A382" s="82"/>
      <c r="B382" s="77"/>
      <c r="C382" s="57" t="s">
        <v>524</v>
      </c>
      <c r="D382" s="144"/>
      <c r="E382" s="144"/>
      <c r="F382" s="76"/>
    </row>
    <row r="383" spans="1:6" ht="15.75">
      <c r="A383" s="56" t="s">
        <v>91</v>
      </c>
      <c r="B383" s="55" t="s">
        <v>504</v>
      </c>
      <c r="C383" s="54" t="s">
        <v>133</v>
      </c>
      <c r="D383" s="145" t="s">
        <v>17</v>
      </c>
      <c r="E383" s="145" t="s">
        <v>503</v>
      </c>
      <c r="F383" s="53" t="s">
        <v>16</v>
      </c>
    </row>
    <row r="384" spans="1:6">
      <c r="A384" s="73">
        <v>1225</v>
      </c>
      <c r="B384" s="65">
        <v>1</v>
      </c>
      <c r="C384" s="50" t="s">
        <v>86</v>
      </c>
      <c r="D384" s="146">
        <v>21.95</v>
      </c>
      <c r="E384" s="146">
        <f>PRODUCT(B384,D384)</f>
        <v>21.95</v>
      </c>
      <c r="F384" s="71"/>
    </row>
    <row r="385" spans="1:6">
      <c r="A385" s="73">
        <v>1202</v>
      </c>
      <c r="B385" s="65">
        <v>1</v>
      </c>
      <c r="C385" s="50" t="s">
        <v>85</v>
      </c>
      <c r="D385" s="146">
        <v>34.32</v>
      </c>
      <c r="E385" s="146">
        <f>PRODUCT(B385,D385)</f>
        <v>34.32</v>
      </c>
      <c r="F385" s="71"/>
    </row>
    <row r="386" spans="1:6">
      <c r="A386" s="73">
        <v>1061</v>
      </c>
      <c r="B386" s="65">
        <v>1</v>
      </c>
      <c r="C386" s="50" t="s">
        <v>185</v>
      </c>
      <c r="D386" s="146">
        <v>28.98</v>
      </c>
      <c r="E386" s="146">
        <f>PRODUCT(B386,D386)</f>
        <v>28.98</v>
      </c>
      <c r="F386" s="71"/>
    </row>
    <row r="387" spans="1:6">
      <c r="A387" s="73">
        <v>1410</v>
      </c>
      <c r="B387" s="65">
        <v>1</v>
      </c>
      <c r="C387" s="50" t="s">
        <v>221</v>
      </c>
      <c r="D387" s="146">
        <v>37.72</v>
      </c>
      <c r="E387" s="146">
        <f>PRODUCT(B387,D387)</f>
        <v>37.72</v>
      </c>
      <c r="F387" s="71"/>
    </row>
    <row r="388" spans="1:6" ht="15.75">
      <c r="A388" s="81"/>
      <c r="B388" s="80"/>
      <c r="C388" s="47"/>
      <c r="D388" s="147"/>
      <c r="E388" s="147"/>
      <c r="F388" s="48">
        <v>120.83</v>
      </c>
    </row>
    <row r="389" spans="1:6">
      <c r="A389" s="47"/>
    </row>
    <row r="390" spans="1:6">
      <c r="A390" s="57"/>
      <c r="B390" s="59"/>
      <c r="C390" s="57" t="s">
        <v>506</v>
      </c>
      <c r="D390" s="153"/>
      <c r="E390" s="153"/>
      <c r="F390" s="58"/>
    </row>
    <row r="391" spans="1:6" ht="15.75">
      <c r="A391" s="69" t="s">
        <v>91</v>
      </c>
      <c r="B391" s="68" t="s">
        <v>504</v>
      </c>
      <c r="C391" s="67" t="s">
        <v>133</v>
      </c>
      <c r="D391" s="154" t="s">
        <v>17</v>
      </c>
      <c r="E391" s="154" t="s">
        <v>503</v>
      </c>
      <c r="F391" s="66" t="s">
        <v>16</v>
      </c>
    </row>
    <row r="392" spans="1:6" ht="15.75">
      <c r="A392" s="52">
        <v>3207</v>
      </c>
      <c r="B392" s="65">
        <v>1</v>
      </c>
      <c r="C392" s="50" t="s">
        <v>366</v>
      </c>
      <c r="D392" s="146">
        <v>189.18</v>
      </c>
      <c r="E392" s="146">
        <f>D392*B392</f>
        <v>189.18</v>
      </c>
      <c r="F392" s="47"/>
    </row>
    <row r="393" spans="1:6" ht="15.75">
      <c r="A393" s="64"/>
      <c r="B393" s="63"/>
      <c r="C393" s="62"/>
      <c r="D393" s="155"/>
      <c r="E393" s="155"/>
      <c r="F393" s="48">
        <f>+SUM(D392)</f>
        <v>189.18</v>
      </c>
    </row>
    <row r="394" spans="1:6">
      <c r="A394" s="61"/>
      <c r="F394" s="44"/>
    </row>
    <row r="395" spans="1:6">
      <c r="A395" s="60"/>
      <c r="B395" s="59"/>
      <c r="C395" s="57" t="s">
        <v>505</v>
      </c>
      <c r="D395" s="153"/>
      <c r="E395" s="153"/>
      <c r="F395" s="57"/>
    </row>
    <row r="396" spans="1:6" ht="15.75">
      <c r="A396" s="56" t="s">
        <v>91</v>
      </c>
      <c r="B396" s="55" t="s">
        <v>504</v>
      </c>
      <c r="C396" s="54" t="s">
        <v>133</v>
      </c>
      <c r="D396" s="145" t="s">
        <v>17</v>
      </c>
      <c r="E396" s="145" t="s">
        <v>503</v>
      </c>
      <c r="F396" s="53" t="s">
        <v>16</v>
      </c>
    </row>
    <row r="397" spans="1:6" ht="15.75">
      <c r="A397" s="52">
        <v>3401</v>
      </c>
      <c r="B397" s="51">
        <v>1</v>
      </c>
      <c r="C397" s="50" t="s">
        <v>280</v>
      </c>
      <c r="D397" s="146">
        <v>57.36</v>
      </c>
      <c r="E397" s="146">
        <f>D397*B397</f>
        <v>57.36</v>
      </c>
      <c r="F397" s="47"/>
    </row>
    <row r="398" spans="1:6">
      <c r="A398" s="47"/>
      <c r="B398" s="49"/>
      <c r="C398" s="47"/>
      <c r="D398" s="147"/>
      <c r="E398" s="147"/>
      <c r="F398" s="48">
        <f>+SUM(D397)</f>
        <v>57.36</v>
      </c>
    </row>
  </sheetData>
  <sheetProtection sheet="1" objects="1" scenarios="1"/>
  <phoneticPr fontId="26" type="noConversion"/>
  <pageMargins left="0.7" right="0.7" top="0.75" bottom="0.75" header="0.3" footer="0.3"/>
  <rowBreaks count="20" manualBreakCount="20">
    <brk id="27" max="5" man="1"/>
    <brk id="54" max="5" man="1"/>
    <brk id="81" max="5" man="1"/>
    <brk id="125" max="5" man="1"/>
    <brk id="147" max="5" man="1"/>
    <brk id="169" max="5" man="1"/>
    <brk id="196" max="5" man="1"/>
    <brk id="223" max="5" man="1"/>
    <brk id="249" max="5" man="1"/>
    <brk id="315" max="5" man="1"/>
    <brk id="337" max="5" man="1"/>
    <brk id="359" max="5" man="1"/>
    <brk id="403" max="16383" man="1"/>
    <brk id="445" max="16383" man="1"/>
    <brk id="479" max="16383" man="1"/>
    <brk id="516" max="16383" man="1"/>
    <brk id="551" max="16383" man="1"/>
    <brk id="588" max="16383" man="1"/>
    <brk id="625" max="16383" man="1"/>
    <brk id="663" max="16383" man="1"/>
  </rowBreaks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80" workbookViewId="0">
      <selection activeCell="J43" sqref="J43"/>
    </sheetView>
  </sheetViews>
  <sheetFormatPr defaultColWidth="8.85546875" defaultRowHeight="15"/>
  <cols>
    <col min="1" max="1" width="7.28515625" style="95" bestFit="1" customWidth="1"/>
    <col min="2" max="2" width="7" style="46" customWidth="1"/>
    <col min="3" max="3" width="84.140625" style="44" customWidth="1"/>
    <col min="4" max="4" width="10.7109375" style="45" customWidth="1"/>
    <col min="5" max="5" width="10.28515625" style="45" customWidth="1"/>
    <col min="6" max="6" width="14" style="45" customWidth="1"/>
    <col min="7" max="7" width="0.28515625" style="44" customWidth="1"/>
    <col min="8" max="8" width="8.85546875" style="44" hidden="1" customWidth="1"/>
    <col min="9" max="16384" width="8.85546875" style="44"/>
  </cols>
  <sheetData>
    <row r="1" spans="1:10">
      <c r="A1" s="114"/>
      <c r="B1" s="59" t="s">
        <v>123</v>
      </c>
      <c r="C1" s="101" t="s">
        <v>523</v>
      </c>
      <c r="D1" s="100"/>
      <c r="E1" s="100"/>
      <c r="F1" s="99"/>
    </row>
    <row r="2" spans="1:10">
      <c r="A2" s="98" t="s">
        <v>91</v>
      </c>
      <c r="B2" s="97" t="s">
        <v>504</v>
      </c>
      <c r="C2" s="54" t="s">
        <v>133</v>
      </c>
      <c r="D2" s="53" t="s">
        <v>17</v>
      </c>
      <c r="E2" s="53" t="s">
        <v>503</v>
      </c>
      <c r="F2" s="53" t="s">
        <v>16</v>
      </c>
    </row>
    <row r="3" spans="1:10">
      <c r="A3" s="73">
        <v>1002</v>
      </c>
      <c r="B3" s="65">
        <v>2</v>
      </c>
      <c r="C3" s="50" t="s">
        <v>176</v>
      </c>
      <c r="D3" s="72">
        <v>7.28</v>
      </c>
      <c r="E3" s="72">
        <f t="shared" ref="E3:E14" si="0">PRODUCT(B3,D3)</f>
        <v>14.56</v>
      </c>
      <c r="F3" s="71"/>
    </row>
    <row r="4" spans="1:10">
      <c r="A4" s="73">
        <v>1104</v>
      </c>
      <c r="B4" s="65">
        <v>2</v>
      </c>
      <c r="C4" s="50" t="s">
        <v>77</v>
      </c>
      <c r="D4" s="72">
        <v>34.68</v>
      </c>
      <c r="E4" s="72">
        <f t="shared" si="0"/>
        <v>69.36</v>
      </c>
      <c r="F4" s="71"/>
    </row>
    <row r="5" spans="1:10">
      <c r="A5" s="73">
        <v>1154</v>
      </c>
      <c r="B5" s="65">
        <v>2</v>
      </c>
      <c r="C5" s="50" t="s">
        <v>84</v>
      </c>
      <c r="D5" s="72">
        <v>14.55</v>
      </c>
      <c r="E5" s="72">
        <f t="shared" si="0"/>
        <v>29.1</v>
      </c>
      <c r="F5" s="71"/>
    </row>
    <row r="6" spans="1:10">
      <c r="A6" s="73">
        <v>1253</v>
      </c>
      <c r="B6" s="65">
        <v>2</v>
      </c>
      <c r="C6" s="50" t="s">
        <v>88</v>
      </c>
      <c r="D6" s="72">
        <v>14.55</v>
      </c>
      <c r="E6" s="72">
        <f t="shared" si="0"/>
        <v>29.1</v>
      </c>
      <c r="F6" s="71"/>
    </row>
    <row r="7" spans="1:10">
      <c r="A7" s="73">
        <v>1251</v>
      </c>
      <c r="B7" s="65">
        <v>2</v>
      </c>
      <c r="C7" s="50" t="s">
        <v>87</v>
      </c>
      <c r="D7" s="72">
        <v>9.2200000000000006</v>
      </c>
      <c r="E7" s="72">
        <f t="shared" si="0"/>
        <v>18.440000000000001</v>
      </c>
      <c r="F7" s="71"/>
    </row>
    <row r="8" spans="1:10">
      <c r="A8" s="73">
        <v>1053</v>
      </c>
      <c r="B8" s="65">
        <v>1</v>
      </c>
      <c r="C8" s="50" t="s">
        <v>183</v>
      </c>
      <c r="D8" s="72">
        <v>14.55</v>
      </c>
      <c r="E8" s="72">
        <f t="shared" si="0"/>
        <v>14.55</v>
      </c>
      <c r="F8" s="71"/>
    </row>
    <row r="9" spans="1:10">
      <c r="A9" s="73">
        <v>1340</v>
      </c>
      <c r="B9" s="65">
        <v>2</v>
      </c>
      <c r="C9" s="50" t="s">
        <v>214</v>
      </c>
      <c r="D9" s="72">
        <v>49.24</v>
      </c>
      <c r="E9" s="72">
        <f t="shared" si="0"/>
        <v>98.48</v>
      </c>
      <c r="F9" s="71"/>
    </row>
    <row r="10" spans="1:10">
      <c r="A10" s="73">
        <v>1540</v>
      </c>
      <c r="B10" s="65">
        <v>2</v>
      </c>
      <c r="C10" s="50" t="s">
        <v>230</v>
      </c>
      <c r="D10" s="72">
        <v>54.21</v>
      </c>
      <c r="E10" s="72">
        <f t="shared" si="0"/>
        <v>108.42</v>
      </c>
      <c r="F10" s="71"/>
    </row>
    <row r="11" spans="1:10">
      <c r="A11" s="73">
        <v>1774</v>
      </c>
      <c r="B11" s="65">
        <v>2</v>
      </c>
      <c r="C11" s="50" t="s">
        <v>253</v>
      </c>
      <c r="D11" s="72">
        <v>19.77</v>
      </c>
      <c r="E11" s="72">
        <f t="shared" si="0"/>
        <v>39.54</v>
      </c>
      <c r="F11" s="71"/>
    </row>
    <row r="12" spans="1:10">
      <c r="A12" s="105">
        <v>106</v>
      </c>
      <c r="B12" s="65">
        <v>1</v>
      </c>
      <c r="C12" s="50" t="s">
        <v>26</v>
      </c>
      <c r="D12" s="72">
        <v>2.2999999999999998</v>
      </c>
      <c r="E12" s="72">
        <f t="shared" si="0"/>
        <v>2.2999999999999998</v>
      </c>
      <c r="F12" s="71"/>
    </row>
    <row r="13" spans="1:10">
      <c r="A13" s="73">
        <v>9306</v>
      </c>
      <c r="B13" s="65">
        <v>2</v>
      </c>
      <c r="C13" s="50" t="s">
        <v>486</v>
      </c>
      <c r="D13" s="72">
        <v>45.2</v>
      </c>
      <c r="E13" s="72">
        <f t="shared" si="0"/>
        <v>90.4</v>
      </c>
      <c r="F13" s="71"/>
    </row>
    <row r="14" spans="1:10">
      <c r="A14" s="73">
        <v>9358</v>
      </c>
      <c r="B14" s="65">
        <v>2</v>
      </c>
      <c r="C14" s="50" t="s">
        <v>487</v>
      </c>
      <c r="D14" s="72">
        <v>31.05</v>
      </c>
      <c r="E14" s="72">
        <f t="shared" si="0"/>
        <v>62.1</v>
      </c>
      <c r="F14" s="71"/>
    </row>
    <row r="15" spans="1:10">
      <c r="A15" s="96"/>
      <c r="B15" s="49"/>
      <c r="C15" s="47"/>
      <c r="D15" s="71"/>
      <c r="E15" s="71"/>
      <c r="F15" s="48">
        <f>SUM(E3:F14)</f>
        <v>576.35000000000014</v>
      </c>
      <c r="H15" s="104" t="s">
        <v>515</v>
      </c>
      <c r="J15" s="45"/>
    </row>
    <row r="16" spans="1:10">
      <c r="A16" s="96"/>
      <c r="B16" s="103"/>
      <c r="C16" s="113"/>
      <c r="D16" s="112"/>
      <c r="E16" s="112"/>
      <c r="F16" s="89"/>
      <c r="H16" s="104"/>
    </row>
    <row r="17" spans="1:10">
      <c r="A17" s="114"/>
      <c r="B17" s="59" t="s">
        <v>121</v>
      </c>
      <c r="C17" s="101" t="s">
        <v>522</v>
      </c>
      <c r="D17" s="100"/>
      <c r="E17" s="100"/>
      <c r="F17" s="99"/>
    </row>
    <row r="18" spans="1:10">
      <c r="A18" s="98" t="s">
        <v>91</v>
      </c>
      <c r="B18" s="97" t="s">
        <v>504</v>
      </c>
      <c r="C18" s="54" t="s">
        <v>133</v>
      </c>
      <c r="D18" s="53" t="s">
        <v>17</v>
      </c>
      <c r="E18" s="53" t="s">
        <v>503</v>
      </c>
      <c r="F18" s="53" t="s">
        <v>16</v>
      </c>
    </row>
    <row r="19" spans="1:10">
      <c r="A19" s="73">
        <v>1002</v>
      </c>
      <c r="B19" s="65">
        <v>2</v>
      </c>
      <c r="C19" s="50" t="s">
        <v>176</v>
      </c>
      <c r="D19" s="72">
        <v>7.28</v>
      </c>
      <c r="E19" s="72">
        <f t="shared" ref="E19:E30" si="1">PRODUCT(B19,D19)</f>
        <v>14.56</v>
      </c>
      <c r="F19" s="71"/>
    </row>
    <row r="20" spans="1:10">
      <c r="A20" s="73">
        <v>1104</v>
      </c>
      <c r="B20" s="65">
        <v>1</v>
      </c>
      <c r="C20" s="50" t="s">
        <v>77</v>
      </c>
      <c r="D20" s="72">
        <v>34.68</v>
      </c>
      <c r="E20" s="72">
        <f t="shared" si="1"/>
        <v>34.68</v>
      </c>
      <c r="F20" s="71"/>
    </row>
    <row r="21" spans="1:10">
      <c r="A21" s="73">
        <v>1154</v>
      </c>
      <c r="B21" s="65">
        <v>1</v>
      </c>
      <c r="C21" s="50" t="s">
        <v>84</v>
      </c>
      <c r="D21" s="72">
        <v>14.55</v>
      </c>
      <c r="E21" s="72">
        <f t="shared" si="1"/>
        <v>14.55</v>
      </c>
      <c r="F21" s="71"/>
    </row>
    <row r="22" spans="1:10">
      <c r="A22" s="73">
        <v>1253</v>
      </c>
      <c r="B22" s="65">
        <v>1</v>
      </c>
      <c r="C22" s="50" t="s">
        <v>88</v>
      </c>
      <c r="D22" s="72">
        <v>14.55</v>
      </c>
      <c r="E22" s="72">
        <f t="shared" si="1"/>
        <v>14.55</v>
      </c>
      <c r="F22" s="71"/>
    </row>
    <row r="23" spans="1:10">
      <c r="A23" s="73">
        <v>1053</v>
      </c>
      <c r="B23" s="65">
        <v>1</v>
      </c>
      <c r="C23" s="50" t="s">
        <v>183</v>
      </c>
      <c r="D23" s="72">
        <v>14.55</v>
      </c>
      <c r="E23" s="72">
        <f t="shared" si="1"/>
        <v>14.55</v>
      </c>
      <c r="F23" s="71"/>
    </row>
    <row r="24" spans="1:10">
      <c r="A24" s="73">
        <v>1251</v>
      </c>
      <c r="B24" s="65">
        <v>1</v>
      </c>
      <c r="C24" s="50" t="s">
        <v>87</v>
      </c>
      <c r="D24" s="72">
        <v>9.2200000000000006</v>
      </c>
      <c r="E24" s="72">
        <f t="shared" si="1"/>
        <v>9.2200000000000006</v>
      </c>
      <c r="F24" s="71"/>
    </row>
    <row r="25" spans="1:10">
      <c r="A25" s="73">
        <v>1340</v>
      </c>
      <c r="B25" s="65">
        <v>1</v>
      </c>
      <c r="C25" s="50" t="s">
        <v>214</v>
      </c>
      <c r="D25" s="72">
        <v>49.24</v>
      </c>
      <c r="E25" s="72">
        <f t="shared" si="1"/>
        <v>49.24</v>
      </c>
      <c r="F25" s="71"/>
    </row>
    <row r="26" spans="1:10">
      <c r="A26" s="73">
        <v>1540</v>
      </c>
      <c r="B26" s="65">
        <v>1</v>
      </c>
      <c r="C26" s="50" t="s">
        <v>230</v>
      </c>
      <c r="D26" s="72">
        <v>54.21</v>
      </c>
      <c r="E26" s="72">
        <f t="shared" si="1"/>
        <v>54.21</v>
      </c>
      <c r="F26" s="71"/>
    </row>
    <row r="27" spans="1:10">
      <c r="A27" s="73">
        <v>1774</v>
      </c>
      <c r="B27" s="65">
        <v>1</v>
      </c>
      <c r="C27" s="50" t="s">
        <v>253</v>
      </c>
      <c r="D27" s="72">
        <v>19.77</v>
      </c>
      <c r="E27" s="72">
        <f t="shared" si="1"/>
        <v>19.77</v>
      </c>
      <c r="F27" s="71"/>
    </row>
    <row r="28" spans="1:10">
      <c r="A28" s="105">
        <v>106</v>
      </c>
      <c r="B28" s="65">
        <v>1</v>
      </c>
      <c r="C28" s="50" t="s">
        <v>26</v>
      </c>
      <c r="D28" s="72">
        <v>2.2999999999999998</v>
      </c>
      <c r="E28" s="72">
        <f t="shared" si="1"/>
        <v>2.2999999999999998</v>
      </c>
      <c r="F28" s="71"/>
    </row>
    <row r="29" spans="1:10">
      <c r="A29" s="73">
        <v>9306</v>
      </c>
      <c r="B29" s="65">
        <v>1</v>
      </c>
      <c r="C29" s="50" t="s">
        <v>486</v>
      </c>
      <c r="D29" s="72">
        <v>45.2</v>
      </c>
      <c r="E29" s="72">
        <f t="shared" si="1"/>
        <v>45.2</v>
      </c>
      <c r="F29" s="71"/>
    </row>
    <row r="30" spans="1:10">
      <c r="A30" s="73">
        <v>9358</v>
      </c>
      <c r="B30" s="65">
        <v>1</v>
      </c>
      <c r="C30" s="50" t="s">
        <v>487</v>
      </c>
      <c r="D30" s="72">
        <v>31.05</v>
      </c>
      <c r="E30" s="72">
        <f t="shared" si="1"/>
        <v>31.05</v>
      </c>
      <c r="F30" s="71"/>
      <c r="H30" s="104" t="s">
        <v>515</v>
      </c>
    </row>
    <row r="31" spans="1:10">
      <c r="A31" s="96"/>
      <c r="B31" s="49"/>
      <c r="C31" s="47"/>
      <c r="D31" s="71"/>
      <c r="E31" s="71"/>
      <c r="F31" s="48">
        <f>SUM(E19:F30)</f>
        <v>303.88000000000005</v>
      </c>
      <c r="H31" s="104"/>
      <c r="J31" s="45"/>
    </row>
    <row r="32" spans="1:10">
      <c r="A32" s="96"/>
      <c r="B32" s="103"/>
      <c r="C32" s="113"/>
      <c r="D32" s="112"/>
      <c r="E32" s="112"/>
      <c r="F32" s="89"/>
    </row>
    <row r="33" spans="1:8">
      <c r="A33" s="106"/>
      <c r="B33" s="59" t="s">
        <v>122</v>
      </c>
      <c r="C33" s="101" t="s">
        <v>521</v>
      </c>
      <c r="D33" s="100"/>
      <c r="E33" s="100"/>
      <c r="F33" s="99"/>
    </row>
    <row r="34" spans="1:8">
      <c r="A34" s="98" t="s">
        <v>91</v>
      </c>
      <c r="B34" s="97" t="s">
        <v>504</v>
      </c>
      <c r="C34" s="54" t="s">
        <v>133</v>
      </c>
      <c r="D34" s="53" t="s">
        <v>17</v>
      </c>
      <c r="E34" s="53" t="s">
        <v>503</v>
      </c>
      <c r="F34" s="53" t="s">
        <v>16</v>
      </c>
    </row>
    <row r="35" spans="1:8">
      <c r="A35" s="73">
        <v>1002</v>
      </c>
      <c r="B35" s="65">
        <v>2</v>
      </c>
      <c r="C35" s="50" t="s">
        <v>176</v>
      </c>
      <c r="D35" s="72">
        <v>7.28</v>
      </c>
      <c r="E35" s="72">
        <f t="shared" ref="E35:E46" si="2">PRODUCT(B35,D35)</f>
        <v>14.56</v>
      </c>
      <c r="F35" s="71"/>
    </row>
    <row r="36" spans="1:8">
      <c r="A36" s="73">
        <v>1104</v>
      </c>
      <c r="B36" s="65">
        <v>1</v>
      </c>
      <c r="C36" s="50" t="s">
        <v>77</v>
      </c>
      <c r="D36" s="72">
        <v>34.68</v>
      </c>
      <c r="E36" s="72">
        <f t="shared" si="2"/>
        <v>34.68</v>
      </c>
      <c r="F36" s="71"/>
    </row>
    <row r="37" spans="1:8">
      <c r="A37" s="73">
        <v>1154</v>
      </c>
      <c r="B37" s="65">
        <v>1</v>
      </c>
      <c r="C37" s="50" t="s">
        <v>84</v>
      </c>
      <c r="D37" s="72">
        <v>14.55</v>
      </c>
      <c r="E37" s="72">
        <f t="shared" si="2"/>
        <v>14.55</v>
      </c>
      <c r="F37" s="71"/>
    </row>
    <row r="38" spans="1:8">
      <c r="A38" s="73">
        <v>1253</v>
      </c>
      <c r="B38" s="65">
        <v>1</v>
      </c>
      <c r="C38" s="50" t="s">
        <v>88</v>
      </c>
      <c r="D38" s="72">
        <v>14.55</v>
      </c>
      <c r="E38" s="72">
        <f t="shared" si="2"/>
        <v>14.55</v>
      </c>
      <c r="F38" s="71"/>
    </row>
    <row r="39" spans="1:8">
      <c r="A39" s="73">
        <v>1053</v>
      </c>
      <c r="B39" s="65">
        <v>1</v>
      </c>
      <c r="C39" s="50" t="s">
        <v>183</v>
      </c>
      <c r="D39" s="72">
        <v>14.55</v>
      </c>
      <c r="E39" s="72">
        <f t="shared" si="2"/>
        <v>14.55</v>
      </c>
      <c r="F39" s="71"/>
    </row>
    <row r="40" spans="1:8">
      <c r="A40" s="73">
        <v>1251</v>
      </c>
      <c r="B40" s="65">
        <v>1</v>
      </c>
      <c r="C40" s="50" t="s">
        <v>87</v>
      </c>
      <c r="D40" s="72">
        <v>9.2200000000000006</v>
      </c>
      <c r="E40" s="72">
        <f t="shared" si="2"/>
        <v>9.2200000000000006</v>
      </c>
      <c r="F40" s="71"/>
    </row>
    <row r="41" spans="1:8">
      <c r="A41" s="73">
        <v>1340</v>
      </c>
      <c r="B41" s="65">
        <v>1</v>
      </c>
      <c r="C41" s="50" t="s">
        <v>214</v>
      </c>
      <c r="D41" s="72">
        <v>49.24</v>
      </c>
      <c r="E41" s="72">
        <f t="shared" si="2"/>
        <v>49.24</v>
      </c>
      <c r="F41" s="71"/>
    </row>
    <row r="42" spans="1:8">
      <c r="A42" s="73">
        <v>1540</v>
      </c>
      <c r="B42" s="65">
        <v>1</v>
      </c>
      <c r="C42" s="50" t="s">
        <v>230</v>
      </c>
      <c r="D42" s="72">
        <v>54.21</v>
      </c>
      <c r="E42" s="72">
        <f t="shared" si="2"/>
        <v>54.21</v>
      </c>
      <c r="F42" s="71"/>
    </row>
    <row r="43" spans="1:8">
      <c r="A43" s="73">
        <v>1774</v>
      </c>
      <c r="B43" s="65">
        <v>1</v>
      </c>
      <c r="C43" s="50" t="s">
        <v>253</v>
      </c>
      <c r="D43" s="72">
        <v>19.77</v>
      </c>
      <c r="E43" s="72">
        <f t="shared" si="2"/>
        <v>19.77</v>
      </c>
      <c r="F43" s="71"/>
    </row>
    <row r="44" spans="1:8">
      <c r="A44" s="105">
        <v>106</v>
      </c>
      <c r="B44" s="65">
        <v>1</v>
      </c>
      <c r="C44" s="50" t="s">
        <v>26</v>
      </c>
      <c r="D44" s="72">
        <v>2.2999999999999998</v>
      </c>
      <c r="E44" s="72">
        <f t="shared" si="2"/>
        <v>2.2999999999999998</v>
      </c>
      <c r="F44" s="71"/>
    </row>
    <row r="45" spans="1:8">
      <c r="A45" s="73">
        <v>9306</v>
      </c>
      <c r="B45" s="65">
        <v>1</v>
      </c>
      <c r="C45" s="50" t="s">
        <v>486</v>
      </c>
      <c r="D45" s="72">
        <v>45.2</v>
      </c>
      <c r="E45" s="72">
        <f t="shared" si="2"/>
        <v>45.2</v>
      </c>
      <c r="F45" s="71"/>
      <c r="H45" s="104" t="s">
        <v>515</v>
      </c>
    </row>
    <row r="46" spans="1:8">
      <c r="A46" s="73">
        <v>9358</v>
      </c>
      <c r="B46" s="65">
        <v>1</v>
      </c>
      <c r="C46" s="50" t="s">
        <v>487</v>
      </c>
      <c r="D46" s="72">
        <v>31.05</v>
      </c>
      <c r="E46" s="72">
        <f t="shared" si="2"/>
        <v>31.05</v>
      </c>
      <c r="F46" s="71"/>
      <c r="H46" s="104" t="s">
        <v>515</v>
      </c>
    </row>
    <row r="47" spans="1:8">
      <c r="A47" s="96"/>
      <c r="B47" s="49"/>
      <c r="C47" s="47"/>
      <c r="D47" s="71"/>
      <c r="E47" s="71"/>
      <c r="F47" s="48">
        <f>SUM(E35:F46)</f>
        <v>303.88000000000005</v>
      </c>
    </row>
    <row r="48" spans="1:8">
      <c r="A48" s="96"/>
      <c r="B48" s="103"/>
      <c r="C48" s="113"/>
      <c r="D48" s="112"/>
      <c r="E48" s="112"/>
      <c r="F48" s="89"/>
    </row>
    <row r="49" spans="1:10">
      <c r="A49" s="102"/>
      <c r="B49" s="59" t="s">
        <v>520</v>
      </c>
      <c r="C49" s="101" t="s">
        <v>519</v>
      </c>
      <c r="D49" s="100"/>
      <c r="E49" s="100"/>
      <c r="F49" s="99"/>
    </row>
    <row r="50" spans="1:10">
      <c r="A50" s="98" t="s">
        <v>91</v>
      </c>
      <c r="B50" s="97" t="s">
        <v>504</v>
      </c>
      <c r="C50" s="54" t="s">
        <v>133</v>
      </c>
      <c r="D50" s="53" t="s">
        <v>17</v>
      </c>
      <c r="E50" s="53" t="s">
        <v>503</v>
      </c>
      <c r="F50" s="53" t="s">
        <v>16</v>
      </c>
    </row>
    <row r="51" spans="1:10">
      <c r="A51" s="73">
        <v>1002</v>
      </c>
      <c r="B51" s="65">
        <v>2</v>
      </c>
      <c r="C51" s="50" t="s">
        <v>176</v>
      </c>
      <c r="D51" s="72">
        <v>7.28</v>
      </c>
      <c r="E51" s="72">
        <f t="shared" ref="E51:E59" si="3">PRODUCT(B51,D51)</f>
        <v>14.56</v>
      </c>
      <c r="F51" s="71"/>
    </row>
    <row r="52" spans="1:10">
      <c r="A52" s="73">
        <v>1053</v>
      </c>
      <c r="B52" s="65">
        <v>1</v>
      </c>
      <c r="C52" s="50" t="s">
        <v>183</v>
      </c>
      <c r="D52" s="72">
        <v>14.55</v>
      </c>
      <c r="E52" s="72">
        <f t="shared" si="3"/>
        <v>14.55</v>
      </c>
      <c r="F52" s="71"/>
    </row>
    <row r="53" spans="1:10">
      <c r="A53" s="73">
        <v>1251</v>
      </c>
      <c r="B53" s="65">
        <v>2</v>
      </c>
      <c r="C53" s="50" t="s">
        <v>87</v>
      </c>
      <c r="D53" s="72">
        <v>9.2200000000000006</v>
      </c>
      <c r="E53" s="72">
        <f t="shared" si="3"/>
        <v>18.440000000000001</v>
      </c>
      <c r="F53" s="71"/>
    </row>
    <row r="54" spans="1:10">
      <c r="A54" s="73">
        <v>1340</v>
      </c>
      <c r="B54" s="65">
        <v>2</v>
      </c>
      <c r="C54" s="50" t="s">
        <v>214</v>
      </c>
      <c r="D54" s="72">
        <v>49.24</v>
      </c>
      <c r="E54" s="72">
        <f t="shared" si="3"/>
        <v>98.48</v>
      </c>
      <c r="F54" s="71"/>
    </row>
    <row r="55" spans="1:10">
      <c r="A55" s="73">
        <v>1540</v>
      </c>
      <c r="B55" s="65">
        <v>2</v>
      </c>
      <c r="C55" s="50" t="s">
        <v>230</v>
      </c>
      <c r="D55" s="72">
        <v>54.21</v>
      </c>
      <c r="E55" s="72">
        <f t="shared" si="3"/>
        <v>108.42</v>
      </c>
      <c r="F55" s="71"/>
    </row>
    <row r="56" spans="1:10">
      <c r="A56" s="73">
        <v>1774</v>
      </c>
      <c r="B56" s="65">
        <v>2</v>
      </c>
      <c r="C56" s="50" t="s">
        <v>253</v>
      </c>
      <c r="D56" s="72">
        <v>19.77</v>
      </c>
      <c r="E56" s="72">
        <f t="shared" si="3"/>
        <v>39.54</v>
      </c>
      <c r="F56" s="71"/>
    </row>
    <row r="57" spans="1:10">
      <c r="A57" s="105">
        <v>106</v>
      </c>
      <c r="B57" s="65">
        <v>1</v>
      </c>
      <c r="C57" s="50" t="s">
        <v>26</v>
      </c>
      <c r="D57" s="72">
        <v>2.2999999999999998</v>
      </c>
      <c r="E57" s="72">
        <f t="shared" si="3"/>
        <v>2.2999999999999998</v>
      </c>
      <c r="F57" s="71"/>
    </row>
    <row r="58" spans="1:10">
      <c r="A58" s="73">
        <v>9306</v>
      </c>
      <c r="B58" s="65">
        <v>2</v>
      </c>
      <c r="C58" s="50" t="s">
        <v>486</v>
      </c>
      <c r="D58" s="72">
        <v>45.2</v>
      </c>
      <c r="E58" s="72">
        <f t="shared" si="3"/>
        <v>90.4</v>
      </c>
      <c r="F58" s="71"/>
      <c r="H58" s="104" t="s">
        <v>515</v>
      </c>
    </row>
    <row r="59" spans="1:10">
      <c r="A59" s="73">
        <v>9358</v>
      </c>
      <c r="B59" s="65">
        <v>2</v>
      </c>
      <c r="C59" s="50" t="s">
        <v>487</v>
      </c>
      <c r="D59" s="72">
        <v>31.05</v>
      </c>
      <c r="E59" s="72">
        <f t="shared" si="3"/>
        <v>62.1</v>
      </c>
      <c r="F59" s="71"/>
      <c r="H59" s="104"/>
    </row>
    <row r="60" spans="1:10">
      <c r="A60" s="96"/>
      <c r="B60" s="49"/>
      <c r="C60" s="47"/>
      <c r="D60" s="71"/>
      <c r="E60" s="71"/>
      <c r="F60" s="48">
        <f>SUM(E51:F59)</f>
        <v>448.79000000000008</v>
      </c>
      <c r="J60" s="45"/>
    </row>
    <row r="61" spans="1:10">
      <c r="A61" s="96"/>
    </row>
    <row r="62" spans="1:10">
      <c r="A62" s="102"/>
      <c r="B62" s="59" t="s">
        <v>517</v>
      </c>
      <c r="C62" s="101" t="s">
        <v>518</v>
      </c>
      <c r="D62" s="100"/>
      <c r="E62" s="100"/>
      <c r="F62" s="99"/>
    </row>
    <row r="63" spans="1:10">
      <c r="A63" s="98" t="s">
        <v>91</v>
      </c>
      <c r="B63" s="97" t="s">
        <v>504</v>
      </c>
      <c r="C63" s="54" t="s">
        <v>133</v>
      </c>
      <c r="D63" s="53" t="s">
        <v>17</v>
      </c>
      <c r="E63" s="53" t="s">
        <v>503</v>
      </c>
      <c r="F63" s="53" t="s">
        <v>16</v>
      </c>
    </row>
    <row r="64" spans="1:10">
      <c r="A64" s="73">
        <v>1002</v>
      </c>
      <c r="B64" s="65">
        <v>2</v>
      </c>
      <c r="C64" s="50" t="s">
        <v>176</v>
      </c>
      <c r="D64" s="72">
        <v>7.28</v>
      </c>
      <c r="E64" s="72">
        <f t="shared" ref="E64:E72" si="4">PRODUCT(B64,D64)</f>
        <v>14.56</v>
      </c>
      <c r="F64" s="71"/>
    </row>
    <row r="65" spans="1:10">
      <c r="A65" s="73">
        <v>1053</v>
      </c>
      <c r="B65" s="65">
        <v>1</v>
      </c>
      <c r="C65" s="50" t="s">
        <v>183</v>
      </c>
      <c r="D65" s="72">
        <v>14.55</v>
      </c>
      <c r="E65" s="72">
        <f t="shared" si="4"/>
        <v>14.55</v>
      </c>
      <c r="F65" s="71"/>
    </row>
    <row r="66" spans="1:10">
      <c r="A66" s="73">
        <v>1251</v>
      </c>
      <c r="B66" s="65">
        <v>1</v>
      </c>
      <c r="C66" s="50" t="s">
        <v>87</v>
      </c>
      <c r="D66" s="72">
        <v>9.2200000000000006</v>
      </c>
      <c r="E66" s="72">
        <f t="shared" si="4"/>
        <v>9.2200000000000006</v>
      </c>
      <c r="F66" s="71"/>
    </row>
    <row r="67" spans="1:10">
      <c r="A67" s="73">
        <v>1340</v>
      </c>
      <c r="B67" s="65">
        <v>1</v>
      </c>
      <c r="C67" s="50" t="s">
        <v>214</v>
      </c>
      <c r="D67" s="72">
        <v>49.24</v>
      </c>
      <c r="E67" s="72">
        <f t="shared" si="4"/>
        <v>49.24</v>
      </c>
      <c r="F67" s="71"/>
    </row>
    <row r="68" spans="1:10">
      <c r="A68" s="73">
        <v>1540</v>
      </c>
      <c r="B68" s="65">
        <v>1</v>
      </c>
      <c r="C68" s="50" t="s">
        <v>230</v>
      </c>
      <c r="D68" s="72">
        <v>54.21</v>
      </c>
      <c r="E68" s="72">
        <f t="shared" si="4"/>
        <v>54.21</v>
      </c>
      <c r="F68" s="71"/>
    </row>
    <row r="69" spans="1:10">
      <c r="A69" s="73">
        <v>1774</v>
      </c>
      <c r="B69" s="65">
        <v>1</v>
      </c>
      <c r="C69" s="50" t="s">
        <v>253</v>
      </c>
      <c r="D69" s="72">
        <v>19.77</v>
      </c>
      <c r="E69" s="72">
        <f t="shared" si="4"/>
        <v>19.77</v>
      </c>
      <c r="F69" s="71"/>
    </row>
    <row r="70" spans="1:10">
      <c r="A70" s="105">
        <v>106</v>
      </c>
      <c r="B70" s="65">
        <v>1</v>
      </c>
      <c r="C70" s="50" t="s">
        <v>26</v>
      </c>
      <c r="D70" s="72">
        <v>2.2999999999999998</v>
      </c>
      <c r="E70" s="72">
        <f t="shared" si="4"/>
        <v>2.2999999999999998</v>
      </c>
      <c r="F70" s="71"/>
    </row>
    <row r="71" spans="1:10">
      <c r="A71" s="73">
        <v>9306</v>
      </c>
      <c r="B71" s="65">
        <v>1</v>
      </c>
      <c r="C71" s="50" t="s">
        <v>486</v>
      </c>
      <c r="D71" s="72">
        <v>45.2</v>
      </c>
      <c r="E71" s="72">
        <f t="shared" si="4"/>
        <v>45.2</v>
      </c>
      <c r="F71" s="71"/>
      <c r="H71" s="104" t="s">
        <v>515</v>
      </c>
    </row>
    <row r="72" spans="1:10">
      <c r="A72" s="73">
        <v>9358</v>
      </c>
      <c r="B72" s="65">
        <v>1</v>
      </c>
      <c r="C72" s="50" t="s">
        <v>487</v>
      </c>
      <c r="D72" s="72">
        <v>31.05</v>
      </c>
      <c r="E72" s="72">
        <f t="shared" si="4"/>
        <v>31.05</v>
      </c>
      <c r="F72" s="71"/>
      <c r="H72" s="104"/>
    </row>
    <row r="73" spans="1:10">
      <c r="A73" s="109"/>
      <c r="B73" s="63"/>
      <c r="C73" s="111"/>
      <c r="D73" s="110"/>
      <c r="E73" s="110"/>
      <c r="F73" s="48">
        <f>SUM(E64:F72)</f>
        <v>240.10000000000002</v>
      </c>
      <c r="J73" s="45"/>
    </row>
    <row r="74" spans="1:10">
      <c r="A74" s="109"/>
      <c r="B74" s="108"/>
      <c r="C74" s="107"/>
      <c r="D74" s="89"/>
      <c r="E74" s="89"/>
      <c r="F74" s="89"/>
    </row>
    <row r="75" spans="1:10">
      <c r="A75" s="106"/>
      <c r="B75" s="59" t="s">
        <v>517</v>
      </c>
      <c r="C75" s="101" t="s">
        <v>516</v>
      </c>
      <c r="D75" s="100"/>
      <c r="E75" s="100"/>
      <c r="F75" s="99"/>
    </row>
    <row r="76" spans="1:10">
      <c r="A76" s="98" t="s">
        <v>91</v>
      </c>
      <c r="B76" s="97" t="s">
        <v>504</v>
      </c>
      <c r="C76" s="54" t="s">
        <v>133</v>
      </c>
      <c r="D76" s="53" t="s">
        <v>17</v>
      </c>
      <c r="E76" s="53" t="s">
        <v>503</v>
      </c>
      <c r="F76" s="53" t="s">
        <v>16</v>
      </c>
    </row>
    <row r="77" spans="1:10">
      <c r="A77" s="73">
        <v>1002</v>
      </c>
      <c r="B77" s="65">
        <v>2</v>
      </c>
      <c r="C77" s="50" t="s">
        <v>176</v>
      </c>
      <c r="D77" s="72">
        <v>7.28</v>
      </c>
      <c r="E77" s="72">
        <f t="shared" ref="E77:E85" si="5">PRODUCT(B77,D77)</f>
        <v>14.56</v>
      </c>
      <c r="F77" s="71"/>
    </row>
    <row r="78" spans="1:10">
      <c r="A78" s="73">
        <v>1053</v>
      </c>
      <c r="B78" s="65">
        <v>1</v>
      </c>
      <c r="C78" s="50" t="s">
        <v>183</v>
      </c>
      <c r="D78" s="72">
        <v>14.55</v>
      </c>
      <c r="E78" s="72">
        <f t="shared" si="5"/>
        <v>14.55</v>
      </c>
      <c r="F78" s="71"/>
    </row>
    <row r="79" spans="1:10">
      <c r="A79" s="73">
        <v>1251</v>
      </c>
      <c r="B79" s="65">
        <v>1</v>
      </c>
      <c r="C79" s="50" t="s">
        <v>87</v>
      </c>
      <c r="D79" s="72">
        <v>9.2200000000000006</v>
      </c>
      <c r="E79" s="72">
        <f t="shared" si="5"/>
        <v>9.2200000000000006</v>
      </c>
      <c r="F79" s="71"/>
    </row>
    <row r="80" spans="1:10">
      <c r="A80" s="73">
        <v>1340</v>
      </c>
      <c r="B80" s="65">
        <v>1</v>
      </c>
      <c r="C80" s="50" t="s">
        <v>214</v>
      </c>
      <c r="D80" s="72">
        <v>49.24</v>
      </c>
      <c r="E80" s="72">
        <f t="shared" si="5"/>
        <v>49.24</v>
      </c>
      <c r="F80" s="71"/>
    </row>
    <row r="81" spans="1:8">
      <c r="A81" s="73">
        <v>1540</v>
      </c>
      <c r="B81" s="65">
        <v>1</v>
      </c>
      <c r="C81" s="50" t="s">
        <v>230</v>
      </c>
      <c r="D81" s="72">
        <v>54.21</v>
      </c>
      <c r="E81" s="72">
        <f t="shared" si="5"/>
        <v>54.21</v>
      </c>
      <c r="F81" s="71"/>
    </row>
    <row r="82" spans="1:8">
      <c r="A82" s="73">
        <v>1774</v>
      </c>
      <c r="B82" s="65">
        <v>1</v>
      </c>
      <c r="C82" s="50" t="s">
        <v>253</v>
      </c>
      <c r="D82" s="72">
        <v>19.77</v>
      </c>
      <c r="E82" s="72">
        <f t="shared" si="5"/>
        <v>19.77</v>
      </c>
      <c r="F82" s="71"/>
    </row>
    <row r="83" spans="1:8">
      <c r="A83" s="105">
        <v>106</v>
      </c>
      <c r="B83" s="65">
        <v>1</v>
      </c>
      <c r="C83" s="50" t="s">
        <v>26</v>
      </c>
      <c r="D83" s="72">
        <v>2.2999999999999998</v>
      </c>
      <c r="E83" s="72">
        <f t="shared" si="5"/>
        <v>2.2999999999999998</v>
      </c>
      <c r="F83" s="71"/>
    </row>
    <row r="84" spans="1:8">
      <c r="A84" s="73">
        <v>9306</v>
      </c>
      <c r="B84" s="65">
        <v>1</v>
      </c>
      <c r="C84" s="50" t="s">
        <v>486</v>
      </c>
      <c r="D84" s="72">
        <v>45.2</v>
      </c>
      <c r="E84" s="72">
        <f t="shared" si="5"/>
        <v>45.2</v>
      </c>
      <c r="F84" s="71"/>
      <c r="H84" s="104" t="s">
        <v>515</v>
      </c>
    </row>
    <row r="85" spans="1:8">
      <c r="A85" s="73">
        <v>9358</v>
      </c>
      <c r="B85" s="65">
        <v>1</v>
      </c>
      <c r="C85" s="50" t="s">
        <v>487</v>
      </c>
      <c r="D85" s="72">
        <v>31.05</v>
      </c>
      <c r="E85" s="72">
        <f t="shared" si="5"/>
        <v>31.05</v>
      </c>
      <c r="F85" s="71"/>
    </row>
    <row r="86" spans="1:8">
      <c r="A86" s="96"/>
      <c r="B86" s="49"/>
      <c r="C86" s="47"/>
      <c r="D86" s="71"/>
      <c r="E86" s="71"/>
      <c r="F86" s="48">
        <f>SUM(E77:F85)</f>
        <v>240.10000000000002</v>
      </c>
    </row>
    <row r="87" spans="1:8">
      <c r="A87" s="96"/>
      <c r="B87" s="103"/>
      <c r="C87" s="90"/>
      <c r="D87" s="89"/>
      <c r="E87" s="89"/>
      <c r="F87" s="89"/>
    </row>
    <row r="88" spans="1:8">
      <c r="A88" s="102"/>
      <c r="B88" s="59"/>
      <c r="C88" s="101" t="s">
        <v>514</v>
      </c>
      <c r="D88" s="100"/>
      <c r="E88" s="100"/>
      <c r="F88" s="99"/>
    </row>
    <row r="89" spans="1:8">
      <c r="A89" s="98" t="s">
        <v>91</v>
      </c>
      <c r="B89" s="97" t="s">
        <v>504</v>
      </c>
      <c r="C89" s="54" t="s">
        <v>133</v>
      </c>
      <c r="D89" s="53" t="s">
        <v>17</v>
      </c>
      <c r="E89" s="53" t="s">
        <v>503</v>
      </c>
      <c r="F89" s="53" t="s">
        <v>16</v>
      </c>
    </row>
    <row r="90" spans="1:8">
      <c r="A90" s="73">
        <v>1420</v>
      </c>
      <c r="B90" s="65">
        <v>1</v>
      </c>
      <c r="C90" s="50" t="s">
        <v>222</v>
      </c>
      <c r="D90" s="72">
        <v>5.46</v>
      </c>
      <c r="E90" s="72">
        <f>PRODUCT(B90,D90)</f>
        <v>5.46</v>
      </c>
      <c r="F90" s="71"/>
    </row>
    <row r="91" spans="1:8">
      <c r="A91" s="96"/>
      <c r="B91" s="49"/>
      <c r="C91" s="47"/>
      <c r="D91" s="71"/>
      <c r="E91" s="71"/>
      <c r="F91" s="48">
        <f>SUM(E90:F90)</f>
        <v>5.46</v>
      </c>
    </row>
  </sheetData>
  <sheetProtection sheet="1" objects="1" scenarios="1"/>
  <phoneticPr fontId="26" type="noConversion"/>
  <pageMargins left="0.7" right="0.7" top="0.75" bottom="0.75" header="0.3" footer="0.3"/>
  <rowBreaks count="4" manualBreakCount="4">
    <brk id="16" max="16383" man="1"/>
    <brk id="31" max="16383" man="1"/>
    <brk id="59" max="16383" man="1"/>
    <brk id="72" max="16383" man="1"/>
  </rowBreaks>
  <colBreaks count="1" manualBreakCount="1">
    <brk id="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4" workbookViewId="0">
      <selection activeCell="J43" sqref="J43"/>
    </sheetView>
  </sheetViews>
  <sheetFormatPr defaultColWidth="8.85546875" defaultRowHeight="15"/>
  <cols>
    <col min="1" max="1" width="6.85546875" style="44" customWidth="1"/>
    <col min="2" max="2" width="7" style="46" customWidth="1"/>
    <col min="3" max="3" width="88.140625" style="44" customWidth="1"/>
    <col min="4" max="4" width="10.7109375" style="22" customWidth="1"/>
    <col min="5" max="5" width="10.28515625" style="22" customWidth="1"/>
    <col min="6" max="6" width="10.42578125" style="45" customWidth="1"/>
    <col min="7" max="16384" width="8.85546875" style="44"/>
  </cols>
  <sheetData>
    <row r="1" spans="1:6">
      <c r="A1" s="140"/>
      <c r="B1" s="59" t="s">
        <v>109</v>
      </c>
      <c r="C1" s="127" t="s">
        <v>547</v>
      </c>
      <c r="D1" s="151"/>
      <c r="E1" s="151"/>
      <c r="F1" s="139"/>
    </row>
    <row r="2" spans="1:6">
      <c r="A2" s="137" t="s">
        <v>91</v>
      </c>
      <c r="B2" s="97" t="s">
        <v>504</v>
      </c>
      <c r="C2" s="54" t="s">
        <v>133</v>
      </c>
      <c r="D2" s="145" t="s">
        <v>17</v>
      </c>
      <c r="E2" s="145" t="s">
        <v>503</v>
      </c>
      <c r="F2" s="53" t="s">
        <v>16</v>
      </c>
    </row>
    <row r="3" spans="1:6">
      <c r="A3" s="115">
        <v>1002</v>
      </c>
      <c r="B3" s="65">
        <v>1</v>
      </c>
      <c r="C3" s="50" t="s">
        <v>176</v>
      </c>
      <c r="D3" s="146">
        <v>7.28</v>
      </c>
      <c r="E3" s="146">
        <f t="shared" ref="E3:E13" si="0">PRODUCT(B3,D3)</f>
        <v>7.28</v>
      </c>
      <c r="F3" s="71"/>
    </row>
    <row r="4" spans="1:6">
      <c r="A4" s="115">
        <v>6118</v>
      </c>
      <c r="B4" s="65">
        <v>2</v>
      </c>
      <c r="C4" s="50" t="s">
        <v>377</v>
      </c>
      <c r="D4" s="146">
        <v>6.18</v>
      </c>
      <c r="E4" s="146">
        <f t="shared" si="0"/>
        <v>12.36</v>
      </c>
      <c r="F4" s="71"/>
    </row>
    <row r="5" spans="1:6">
      <c r="A5" s="115">
        <v>9959</v>
      </c>
      <c r="B5" s="65">
        <v>2</v>
      </c>
      <c r="C5" s="50" t="s">
        <v>427</v>
      </c>
      <c r="D5" s="146">
        <v>20</v>
      </c>
      <c r="E5" s="146">
        <f t="shared" si="0"/>
        <v>40</v>
      </c>
      <c r="F5" s="71"/>
    </row>
    <row r="6" spans="1:6">
      <c r="A6" s="115">
        <v>9958</v>
      </c>
      <c r="B6" s="65">
        <v>2</v>
      </c>
      <c r="C6" s="50" t="s">
        <v>425</v>
      </c>
      <c r="D6" s="146">
        <v>18.899999999999999</v>
      </c>
      <c r="E6" s="146">
        <f t="shared" si="0"/>
        <v>37.799999999999997</v>
      </c>
      <c r="F6" s="71"/>
    </row>
    <row r="7" spans="1:6">
      <c r="A7" s="115">
        <v>1053</v>
      </c>
      <c r="B7" s="65">
        <v>1</v>
      </c>
      <c r="C7" s="50" t="s">
        <v>183</v>
      </c>
      <c r="D7" s="146">
        <v>14.55</v>
      </c>
      <c r="E7" s="146">
        <f t="shared" si="0"/>
        <v>14.55</v>
      </c>
      <c r="F7" s="71"/>
    </row>
    <row r="8" spans="1:6">
      <c r="A8" s="115">
        <v>1860</v>
      </c>
      <c r="B8" s="65">
        <v>1</v>
      </c>
      <c r="C8" s="50" t="s">
        <v>269</v>
      </c>
      <c r="D8" s="146">
        <v>103.32</v>
      </c>
      <c r="E8" s="146">
        <f t="shared" si="0"/>
        <v>103.32</v>
      </c>
      <c r="F8" s="71"/>
    </row>
    <row r="9" spans="1:6">
      <c r="A9" s="115">
        <v>6951</v>
      </c>
      <c r="B9" s="65">
        <v>2</v>
      </c>
      <c r="C9" s="50" t="s">
        <v>480</v>
      </c>
      <c r="D9" s="146">
        <v>27.04</v>
      </c>
      <c r="E9" s="146">
        <f t="shared" si="0"/>
        <v>54.08</v>
      </c>
      <c r="F9" s="71"/>
    </row>
    <row r="10" spans="1:6">
      <c r="A10" s="115">
        <v>1951</v>
      </c>
      <c r="B10" s="65">
        <v>2</v>
      </c>
      <c r="C10" s="50" t="s">
        <v>188</v>
      </c>
      <c r="D10" s="146">
        <v>27.04</v>
      </c>
      <c r="E10" s="146">
        <f t="shared" si="0"/>
        <v>54.08</v>
      </c>
      <c r="F10" s="71"/>
    </row>
    <row r="11" spans="1:6">
      <c r="A11" s="105">
        <v>9960</v>
      </c>
      <c r="B11" s="65">
        <v>2</v>
      </c>
      <c r="C11" s="50" t="s">
        <v>428</v>
      </c>
      <c r="D11" s="146">
        <v>82.75</v>
      </c>
      <c r="E11" s="146">
        <f t="shared" si="0"/>
        <v>165.5</v>
      </c>
      <c r="F11" s="71"/>
    </row>
    <row r="12" spans="1:6">
      <c r="A12" s="115">
        <v>6490</v>
      </c>
      <c r="B12" s="65">
        <v>2</v>
      </c>
      <c r="C12" s="50" t="s">
        <v>478</v>
      </c>
      <c r="D12" s="146">
        <v>73.73</v>
      </c>
      <c r="E12" s="146">
        <f t="shared" si="0"/>
        <v>147.46</v>
      </c>
      <c r="F12" s="71"/>
    </row>
    <row r="13" spans="1:6">
      <c r="A13" s="115">
        <v>106</v>
      </c>
      <c r="B13" s="65">
        <v>1</v>
      </c>
      <c r="C13" s="50" t="s">
        <v>26</v>
      </c>
      <c r="D13" s="146">
        <v>2.2999999999999998</v>
      </c>
      <c r="E13" s="146">
        <f t="shared" si="0"/>
        <v>2.2999999999999998</v>
      </c>
      <c r="F13" s="71"/>
    </row>
    <row r="14" spans="1:6">
      <c r="A14" s="136"/>
      <c r="B14" s="49"/>
      <c r="C14" s="47"/>
      <c r="D14" s="147"/>
      <c r="E14" s="147"/>
      <c r="F14" s="70">
        <f>SUM(E3:F13)</f>
        <v>638.7299999999999</v>
      </c>
    </row>
    <row r="15" spans="1:6">
      <c r="A15" s="136"/>
      <c r="B15" s="103"/>
      <c r="C15" s="113"/>
      <c r="D15" s="148"/>
      <c r="E15" s="148"/>
      <c r="F15" s="89"/>
    </row>
    <row r="16" spans="1:6">
      <c r="A16" s="138"/>
      <c r="B16" s="128" t="s">
        <v>109</v>
      </c>
      <c r="C16" s="127" t="s">
        <v>546</v>
      </c>
      <c r="D16" s="151"/>
      <c r="E16" s="151"/>
      <c r="F16" s="99"/>
    </row>
    <row r="17" spans="1:6">
      <c r="A17" s="137" t="s">
        <v>91</v>
      </c>
      <c r="B17" s="97" t="s">
        <v>504</v>
      </c>
      <c r="C17" s="54" t="s">
        <v>133</v>
      </c>
      <c r="D17" s="145" t="s">
        <v>17</v>
      </c>
      <c r="E17" s="145" t="s">
        <v>503</v>
      </c>
      <c r="F17" s="53" t="s">
        <v>16</v>
      </c>
    </row>
    <row r="18" spans="1:6">
      <c r="A18" s="115">
        <v>1002</v>
      </c>
      <c r="B18" s="65">
        <v>1</v>
      </c>
      <c r="C18" s="50" t="s">
        <v>176</v>
      </c>
      <c r="D18" s="146">
        <v>7.28</v>
      </c>
      <c r="E18" s="146">
        <f t="shared" ref="E18:E28" si="1">PRODUCT(B18,D18)</f>
        <v>7.28</v>
      </c>
      <c r="F18" s="71"/>
    </row>
    <row r="19" spans="1:6">
      <c r="A19" s="115">
        <v>6118</v>
      </c>
      <c r="B19" s="65">
        <v>3</v>
      </c>
      <c r="C19" s="50" t="s">
        <v>377</v>
      </c>
      <c r="D19" s="146">
        <v>6.18</v>
      </c>
      <c r="E19" s="146">
        <f t="shared" si="1"/>
        <v>18.54</v>
      </c>
      <c r="F19" s="71"/>
    </row>
    <row r="20" spans="1:6">
      <c r="A20" s="115">
        <v>9959</v>
      </c>
      <c r="B20" s="65">
        <v>3</v>
      </c>
      <c r="C20" s="50" t="s">
        <v>427</v>
      </c>
      <c r="D20" s="146">
        <v>20</v>
      </c>
      <c r="E20" s="146">
        <f t="shared" si="1"/>
        <v>60</v>
      </c>
      <c r="F20" s="71"/>
    </row>
    <row r="21" spans="1:6">
      <c r="A21" s="115">
        <v>9958</v>
      </c>
      <c r="B21" s="65">
        <v>3</v>
      </c>
      <c r="C21" s="50" t="s">
        <v>425</v>
      </c>
      <c r="D21" s="146">
        <v>18.899999999999999</v>
      </c>
      <c r="E21" s="146">
        <f t="shared" si="1"/>
        <v>56.699999999999996</v>
      </c>
      <c r="F21" s="71"/>
    </row>
    <row r="22" spans="1:6">
      <c r="A22" s="115">
        <v>1053</v>
      </c>
      <c r="B22" s="65">
        <v>1</v>
      </c>
      <c r="C22" s="50" t="s">
        <v>183</v>
      </c>
      <c r="D22" s="146">
        <v>14.55</v>
      </c>
      <c r="E22" s="146">
        <f t="shared" si="1"/>
        <v>14.55</v>
      </c>
      <c r="F22" s="71"/>
    </row>
    <row r="23" spans="1:6">
      <c r="A23" s="115">
        <v>1860</v>
      </c>
      <c r="B23" s="65">
        <v>1</v>
      </c>
      <c r="C23" s="50" t="s">
        <v>269</v>
      </c>
      <c r="D23" s="146">
        <v>103.32</v>
      </c>
      <c r="E23" s="146">
        <f t="shared" si="1"/>
        <v>103.32</v>
      </c>
      <c r="F23" s="71"/>
    </row>
    <row r="24" spans="1:6">
      <c r="A24" s="115">
        <v>6951</v>
      </c>
      <c r="B24" s="65">
        <v>3</v>
      </c>
      <c r="C24" s="50" t="s">
        <v>480</v>
      </c>
      <c r="D24" s="146">
        <v>27.04</v>
      </c>
      <c r="E24" s="146">
        <f t="shared" si="1"/>
        <v>81.12</v>
      </c>
      <c r="F24" s="71"/>
    </row>
    <row r="25" spans="1:6">
      <c r="A25" s="115">
        <v>1951</v>
      </c>
      <c r="B25" s="65">
        <v>3</v>
      </c>
      <c r="C25" s="50" t="s">
        <v>188</v>
      </c>
      <c r="D25" s="146">
        <v>27.04</v>
      </c>
      <c r="E25" s="146">
        <f t="shared" si="1"/>
        <v>81.12</v>
      </c>
      <c r="F25" s="71"/>
    </row>
    <row r="26" spans="1:6">
      <c r="A26" s="105">
        <v>9960</v>
      </c>
      <c r="B26" s="65">
        <v>3</v>
      </c>
      <c r="C26" s="50" t="s">
        <v>428</v>
      </c>
      <c r="D26" s="146">
        <v>82.75</v>
      </c>
      <c r="E26" s="146">
        <f t="shared" si="1"/>
        <v>248.25</v>
      </c>
      <c r="F26" s="71"/>
    </row>
    <row r="27" spans="1:6">
      <c r="A27" s="115">
        <v>6490</v>
      </c>
      <c r="B27" s="65">
        <v>3</v>
      </c>
      <c r="C27" s="50" t="s">
        <v>478</v>
      </c>
      <c r="D27" s="146">
        <v>73.73</v>
      </c>
      <c r="E27" s="146">
        <f t="shared" si="1"/>
        <v>221.19</v>
      </c>
      <c r="F27" s="71"/>
    </row>
    <row r="28" spans="1:6">
      <c r="A28" s="115">
        <v>106</v>
      </c>
      <c r="B28" s="65">
        <v>1</v>
      </c>
      <c r="C28" s="50" t="s">
        <v>26</v>
      </c>
      <c r="D28" s="146">
        <v>2.2999999999999998</v>
      </c>
      <c r="E28" s="146">
        <f t="shared" si="1"/>
        <v>2.2999999999999998</v>
      </c>
      <c r="F28" s="71"/>
    </row>
    <row r="29" spans="1:6">
      <c r="A29" s="136"/>
      <c r="B29" s="49"/>
      <c r="C29" s="47"/>
      <c r="D29" s="147"/>
      <c r="E29" s="147"/>
      <c r="F29" s="70">
        <f>SUM(E18:F28)</f>
        <v>894.36999999999989</v>
      </c>
    </row>
    <row r="30" spans="1:6">
      <c r="A30" s="136"/>
      <c r="B30" s="103"/>
      <c r="C30" s="113"/>
      <c r="D30" s="148"/>
      <c r="E30" s="148"/>
      <c r="F30" s="89"/>
    </row>
    <row r="31" spans="1:6">
      <c r="A31" s="138"/>
      <c r="B31" s="128" t="s">
        <v>110</v>
      </c>
      <c r="C31" s="127" t="s">
        <v>545</v>
      </c>
      <c r="D31" s="151"/>
      <c r="E31" s="151"/>
      <c r="F31" s="99"/>
    </row>
    <row r="32" spans="1:6">
      <c r="A32" s="137" t="s">
        <v>91</v>
      </c>
      <c r="B32" s="97" t="s">
        <v>504</v>
      </c>
      <c r="C32" s="54" t="s">
        <v>133</v>
      </c>
      <c r="D32" s="145" t="s">
        <v>17</v>
      </c>
      <c r="E32" s="145" t="s">
        <v>503</v>
      </c>
      <c r="F32" s="53" t="s">
        <v>16</v>
      </c>
    </row>
    <row r="33" spans="1:6">
      <c r="A33" s="115">
        <v>1002</v>
      </c>
      <c r="B33" s="65">
        <v>2</v>
      </c>
      <c r="C33" s="50" t="s">
        <v>176</v>
      </c>
      <c r="D33" s="146">
        <v>7.28</v>
      </c>
      <c r="E33" s="146">
        <f t="shared" ref="E33:E45" si="2">PRODUCT(B33,D33)</f>
        <v>14.56</v>
      </c>
      <c r="F33" s="71"/>
    </row>
    <row r="34" spans="1:6">
      <c r="A34" s="115">
        <v>6113</v>
      </c>
      <c r="B34" s="65">
        <v>1</v>
      </c>
      <c r="C34" s="50" t="s">
        <v>374</v>
      </c>
      <c r="D34" s="146">
        <v>46.33</v>
      </c>
      <c r="E34" s="146">
        <f t="shared" si="2"/>
        <v>46.33</v>
      </c>
      <c r="F34" s="71"/>
    </row>
    <row r="35" spans="1:6">
      <c r="A35" s="115">
        <v>6118</v>
      </c>
      <c r="B35" s="65">
        <v>2</v>
      </c>
      <c r="C35" s="50" t="s">
        <v>377</v>
      </c>
      <c r="D35" s="146">
        <v>6.18</v>
      </c>
      <c r="E35" s="146">
        <f t="shared" si="2"/>
        <v>12.36</v>
      </c>
      <c r="F35" s="71"/>
    </row>
    <row r="36" spans="1:6">
      <c r="A36" s="115">
        <v>9957</v>
      </c>
      <c r="B36" s="65">
        <v>2</v>
      </c>
      <c r="C36" s="50" t="s">
        <v>424</v>
      </c>
      <c r="D36" s="146">
        <v>53.75</v>
      </c>
      <c r="E36" s="146">
        <f t="shared" si="2"/>
        <v>107.5</v>
      </c>
      <c r="F36" s="71"/>
    </row>
    <row r="37" spans="1:6">
      <c r="A37" s="115">
        <v>9956</v>
      </c>
      <c r="B37" s="65">
        <v>2</v>
      </c>
      <c r="C37" s="50" t="s">
        <v>423</v>
      </c>
      <c r="D37" s="146">
        <v>43.6</v>
      </c>
      <c r="E37" s="146">
        <f t="shared" si="2"/>
        <v>87.2</v>
      </c>
      <c r="F37" s="71"/>
    </row>
    <row r="38" spans="1:6">
      <c r="A38" s="115">
        <v>6144</v>
      </c>
      <c r="B38" s="65">
        <v>1</v>
      </c>
      <c r="C38" s="50" t="s">
        <v>379</v>
      </c>
      <c r="D38" s="146">
        <v>19.04</v>
      </c>
      <c r="E38" s="146">
        <f t="shared" si="2"/>
        <v>19.04</v>
      </c>
      <c r="F38" s="71"/>
    </row>
    <row r="39" spans="1:6">
      <c r="A39" s="115">
        <v>1023</v>
      </c>
      <c r="B39" s="65">
        <v>1</v>
      </c>
      <c r="C39" s="50" t="s">
        <v>181</v>
      </c>
      <c r="D39" s="146">
        <v>36.5</v>
      </c>
      <c r="E39" s="146">
        <f t="shared" si="2"/>
        <v>36.5</v>
      </c>
      <c r="F39" s="71"/>
    </row>
    <row r="40" spans="1:6">
      <c r="A40" s="115">
        <v>1053</v>
      </c>
      <c r="B40" s="65">
        <v>1</v>
      </c>
      <c r="C40" s="50" t="s">
        <v>183</v>
      </c>
      <c r="D40" s="146">
        <v>14.55</v>
      </c>
      <c r="E40" s="146">
        <f t="shared" si="2"/>
        <v>14.55</v>
      </c>
      <c r="F40" s="71"/>
    </row>
    <row r="41" spans="1:6">
      <c r="A41" s="115">
        <v>1860</v>
      </c>
      <c r="B41" s="65">
        <v>1</v>
      </c>
      <c r="C41" s="50" t="s">
        <v>269</v>
      </c>
      <c r="D41" s="146">
        <v>103.32</v>
      </c>
      <c r="E41" s="146">
        <f t="shared" si="2"/>
        <v>103.32</v>
      </c>
      <c r="F41" s="71"/>
    </row>
    <row r="42" spans="1:6">
      <c r="A42" s="115">
        <v>1952</v>
      </c>
      <c r="B42" s="65">
        <v>3</v>
      </c>
      <c r="C42" s="50" t="s">
        <v>189</v>
      </c>
      <c r="D42" s="146">
        <v>27.04</v>
      </c>
      <c r="E42" s="146">
        <f t="shared" si="2"/>
        <v>81.12</v>
      </c>
      <c r="F42" s="71"/>
    </row>
    <row r="43" spans="1:6">
      <c r="A43" s="115">
        <v>9953</v>
      </c>
      <c r="B43" s="65">
        <v>30</v>
      </c>
      <c r="C43" s="50" t="s">
        <v>426</v>
      </c>
      <c r="D43" s="146">
        <v>4.95</v>
      </c>
      <c r="E43" s="146">
        <f t="shared" si="2"/>
        <v>148.5</v>
      </c>
      <c r="F43" s="71"/>
    </row>
    <row r="44" spans="1:6">
      <c r="A44" s="115">
        <v>6490</v>
      </c>
      <c r="B44" s="65">
        <v>2</v>
      </c>
      <c r="C44" s="50" t="s">
        <v>478</v>
      </c>
      <c r="D44" s="146">
        <v>73.73</v>
      </c>
      <c r="E44" s="146">
        <f t="shared" si="2"/>
        <v>147.46</v>
      </c>
      <c r="F44" s="71"/>
    </row>
    <row r="45" spans="1:6">
      <c r="A45" s="115">
        <v>106</v>
      </c>
      <c r="B45" s="65">
        <v>1</v>
      </c>
      <c r="C45" s="50" t="s">
        <v>26</v>
      </c>
      <c r="D45" s="146">
        <v>2.2999999999999998</v>
      </c>
      <c r="E45" s="146">
        <f t="shared" si="2"/>
        <v>2.2999999999999998</v>
      </c>
      <c r="F45" s="71"/>
    </row>
    <row r="46" spans="1:6">
      <c r="A46" s="136"/>
      <c r="B46" s="49"/>
      <c r="C46" s="47"/>
      <c r="D46" s="147"/>
      <c r="E46" s="147"/>
      <c r="F46" s="70">
        <f>SUM(E33:F45)</f>
        <v>820.74</v>
      </c>
    </row>
    <row r="47" spans="1:6">
      <c r="A47" s="136"/>
      <c r="B47" s="103"/>
      <c r="C47" s="113"/>
      <c r="D47" s="148"/>
      <c r="E47" s="148"/>
      <c r="F47" s="89"/>
    </row>
    <row r="48" spans="1:6">
      <c r="A48" s="138"/>
      <c r="B48" s="128" t="s">
        <v>111</v>
      </c>
      <c r="C48" s="127" t="s">
        <v>544</v>
      </c>
      <c r="D48" s="151"/>
      <c r="E48" s="151"/>
      <c r="F48" s="99"/>
    </row>
    <row r="49" spans="1:6">
      <c r="A49" s="137" t="s">
        <v>91</v>
      </c>
      <c r="B49" s="97" t="s">
        <v>504</v>
      </c>
      <c r="C49" s="54" t="s">
        <v>133</v>
      </c>
      <c r="D49" s="145" t="s">
        <v>17</v>
      </c>
      <c r="E49" s="145" t="s">
        <v>503</v>
      </c>
      <c r="F49" s="53" t="s">
        <v>16</v>
      </c>
    </row>
    <row r="50" spans="1:6">
      <c r="A50" s="115">
        <v>1002</v>
      </c>
      <c r="B50" s="65">
        <v>2</v>
      </c>
      <c r="C50" s="50" t="s">
        <v>176</v>
      </c>
      <c r="D50" s="146">
        <v>7.28</v>
      </c>
      <c r="E50" s="146">
        <f t="shared" ref="E50:E62" si="3">PRODUCT(B50,D50)</f>
        <v>14.56</v>
      </c>
      <c r="F50" s="71"/>
    </row>
    <row r="51" spans="1:6">
      <c r="A51" s="115">
        <v>6113</v>
      </c>
      <c r="B51" s="65">
        <v>1</v>
      </c>
      <c r="C51" s="50" t="s">
        <v>374</v>
      </c>
      <c r="D51" s="146">
        <v>46.33</v>
      </c>
      <c r="E51" s="146">
        <f t="shared" si="3"/>
        <v>46.33</v>
      </c>
      <c r="F51" s="71"/>
    </row>
    <row r="52" spans="1:6">
      <c r="A52" s="115">
        <v>6118</v>
      </c>
      <c r="B52" s="65">
        <v>3</v>
      </c>
      <c r="C52" s="50" t="s">
        <v>377</v>
      </c>
      <c r="D52" s="146">
        <v>6.18</v>
      </c>
      <c r="E52" s="146">
        <f t="shared" si="3"/>
        <v>18.54</v>
      </c>
      <c r="F52" s="71"/>
    </row>
    <row r="53" spans="1:6">
      <c r="A53" s="115">
        <v>9957</v>
      </c>
      <c r="B53" s="65">
        <v>3</v>
      </c>
      <c r="C53" s="50" t="s">
        <v>424</v>
      </c>
      <c r="D53" s="146">
        <v>53.75</v>
      </c>
      <c r="E53" s="146">
        <f t="shared" si="3"/>
        <v>161.25</v>
      </c>
      <c r="F53" s="71"/>
    </row>
    <row r="54" spans="1:6">
      <c r="A54" s="115">
        <v>9956</v>
      </c>
      <c r="B54" s="65">
        <v>3</v>
      </c>
      <c r="C54" s="50" t="s">
        <v>423</v>
      </c>
      <c r="D54" s="146">
        <v>43.6</v>
      </c>
      <c r="E54" s="146">
        <f t="shared" si="3"/>
        <v>130.80000000000001</v>
      </c>
      <c r="F54" s="71"/>
    </row>
    <row r="55" spans="1:6">
      <c r="A55" s="115">
        <v>6144</v>
      </c>
      <c r="B55" s="65">
        <v>1</v>
      </c>
      <c r="C55" s="50" t="s">
        <v>379</v>
      </c>
      <c r="D55" s="146">
        <v>19.04</v>
      </c>
      <c r="E55" s="146">
        <f t="shared" si="3"/>
        <v>19.04</v>
      </c>
      <c r="F55" s="71"/>
    </row>
    <row r="56" spans="1:6">
      <c r="A56" s="115">
        <v>1023</v>
      </c>
      <c r="B56" s="65">
        <v>1</v>
      </c>
      <c r="C56" s="50" t="s">
        <v>181</v>
      </c>
      <c r="D56" s="146">
        <v>36.5</v>
      </c>
      <c r="E56" s="146">
        <f t="shared" si="3"/>
        <v>36.5</v>
      </c>
      <c r="F56" s="71"/>
    </row>
    <row r="57" spans="1:6">
      <c r="A57" s="115">
        <v>1053</v>
      </c>
      <c r="B57" s="65">
        <v>1</v>
      </c>
      <c r="C57" s="50" t="s">
        <v>183</v>
      </c>
      <c r="D57" s="146">
        <v>14.55</v>
      </c>
      <c r="E57" s="146">
        <f t="shared" si="3"/>
        <v>14.55</v>
      </c>
      <c r="F57" s="71"/>
    </row>
    <row r="58" spans="1:6">
      <c r="A58" s="115">
        <v>1860</v>
      </c>
      <c r="B58" s="65">
        <v>1</v>
      </c>
      <c r="C58" s="50" t="s">
        <v>269</v>
      </c>
      <c r="D58" s="146">
        <v>103.32</v>
      </c>
      <c r="E58" s="146">
        <f t="shared" si="3"/>
        <v>103.32</v>
      </c>
      <c r="F58" s="71"/>
    </row>
    <row r="59" spans="1:6">
      <c r="A59" s="115">
        <v>1952</v>
      </c>
      <c r="B59" s="65">
        <v>4</v>
      </c>
      <c r="C59" s="50" t="s">
        <v>189</v>
      </c>
      <c r="D59" s="146">
        <v>27.04</v>
      </c>
      <c r="E59" s="146">
        <f t="shared" si="3"/>
        <v>108.16</v>
      </c>
      <c r="F59" s="71"/>
    </row>
    <row r="60" spans="1:6">
      <c r="A60" s="115">
        <v>9953</v>
      </c>
      <c r="B60" s="65">
        <v>40</v>
      </c>
      <c r="C60" s="50" t="s">
        <v>426</v>
      </c>
      <c r="D60" s="146">
        <v>4.95</v>
      </c>
      <c r="E60" s="146">
        <f t="shared" si="3"/>
        <v>198</v>
      </c>
      <c r="F60" s="71"/>
    </row>
    <row r="61" spans="1:6">
      <c r="A61" s="115">
        <v>6490</v>
      </c>
      <c r="B61" s="65">
        <v>3</v>
      </c>
      <c r="C61" s="50" t="s">
        <v>478</v>
      </c>
      <c r="D61" s="146">
        <v>73.73</v>
      </c>
      <c r="E61" s="146">
        <f t="shared" si="3"/>
        <v>221.19</v>
      </c>
      <c r="F61" s="71"/>
    </row>
    <row r="62" spans="1:6">
      <c r="A62" s="115">
        <v>106</v>
      </c>
      <c r="B62" s="65">
        <v>1</v>
      </c>
      <c r="C62" s="50" t="s">
        <v>26</v>
      </c>
      <c r="D62" s="146">
        <v>2.2999999999999998</v>
      </c>
      <c r="E62" s="146">
        <f t="shared" si="3"/>
        <v>2.2999999999999998</v>
      </c>
      <c r="F62" s="71"/>
    </row>
    <row r="63" spans="1:6">
      <c r="A63" s="136"/>
      <c r="B63" s="49"/>
      <c r="C63" s="47"/>
      <c r="D63" s="147"/>
      <c r="E63" s="147"/>
      <c r="F63" s="70">
        <f>SUM(E50:F62)</f>
        <v>1074.54</v>
      </c>
    </row>
  </sheetData>
  <sheetProtection sheet="1" objects="1" scenarios="1"/>
  <phoneticPr fontId="26" type="noConversion"/>
  <pageMargins left="0.7" right="0.7" top="0.75" bottom="0.75" header="0.3" footer="0.3"/>
  <rowBreaks count="12" manualBreakCount="12">
    <brk id="15" max="6" man="1"/>
    <brk id="30" max="6" man="1"/>
    <brk id="47" max="16383" man="1"/>
    <brk id="114" max="16383" man="1"/>
    <brk id="138" max="16383" man="1"/>
    <brk id="162" max="16383" man="1"/>
    <brk id="189" max="16383" man="1"/>
    <brk id="276" max="16383" man="1"/>
    <brk id="313" max="16383" man="1"/>
    <brk id="349" max="16383" man="1"/>
    <brk id="386" max="16383" man="1"/>
    <brk id="422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J43" sqref="J43"/>
    </sheetView>
  </sheetViews>
  <sheetFormatPr defaultColWidth="8.85546875" defaultRowHeight="15"/>
  <cols>
    <col min="3" max="3" width="62.42578125" bestFit="1" customWidth="1"/>
    <col min="4" max="5" width="8.85546875" style="22"/>
    <col min="6" max="6" width="8.85546875" bestFit="1" customWidth="1"/>
  </cols>
  <sheetData>
    <row r="1" spans="1:6">
      <c r="A1" s="123"/>
      <c r="B1" s="59" t="s">
        <v>102</v>
      </c>
      <c r="C1" s="57" t="s">
        <v>491</v>
      </c>
      <c r="D1" s="144"/>
      <c r="E1" s="144"/>
      <c r="F1" s="76"/>
    </row>
    <row r="2" spans="1:6">
      <c r="A2" s="98" t="s">
        <v>91</v>
      </c>
      <c r="B2" s="97" t="s">
        <v>504</v>
      </c>
      <c r="C2" s="54" t="s">
        <v>133</v>
      </c>
      <c r="D2" s="145" t="s">
        <v>17</v>
      </c>
      <c r="E2" s="145" t="s">
        <v>503</v>
      </c>
      <c r="F2" s="53" t="s">
        <v>16</v>
      </c>
    </row>
    <row r="3" spans="1:6">
      <c r="A3" s="115">
        <v>9961</v>
      </c>
      <c r="B3" s="65">
        <v>2</v>
      </c>
      <c r="C3" s="50" t="s">
        <v>429</v>
      </c>
      <c r="D3" s="146">
        <v>145.19999999999999</v>
      </c>
      <c r="E3" s="146">
        <f>PRODUCT(B3,D3)</f>
        <v>290.39999999999998</v>
      </c>
      <c r="F3" s="71"/>
    </row>
    <row r="4" spans="1:6">
      <c r="A4" s="96"/>
      <c r="B4" s="49"/>
      <c r="C4" s="47"/>
      <c r="D4" s="147"/>
      <c r="E4" s="147"/>
      <c r="F4" s="70">
        <f>SUM(E3,)</f>
        <v>290.39999999999998</v>
      </c>
    </row>
    <row r="5" spans="1:6">
      <c r="A5" s="119"/>
      <c r="B5" s="46"/>
      <c r="C5" s="44"/>
      <c r="F5" s="45"/>
    </row>
    <row r="6" spans="1:6">
      <c r="A6" s="123"/>
      <c r="B6" s="59" t="s">
        <v>103</v>
      </c>
      <c r="C6" s="57" t="s">
        <v>550</v>
      </c>
      <c r="D6" s="144"/>
      <c r="E6" s="144"/>
      <c r="F6" s="76"/>
    </row>
    <row r="7" spans="1:6">
      <c r="A7" s="98" t="s">
        <v>91</v>
      </c>
      <c r="B7" s="97" t="s">
        <v>504</v>
      </c>
      <c r="C7" s="54" t="s">
        <v>133</v>
      </c>
      <c r="D7" s="145" t="s">
        <v>17</v>
      </c>
      <c r="E7" s="145" t="s">
        <v>503</v>
      </c>
      <c r="F7" s="53" t="s">
        <v>16</v>
      </c>
    </row>
    <row r="8" spans="1:6">
      <c r="A8" s="115">
        <v>9961</v>
      </c>
      <c r="B8" s="65">
        <v>1</v>
      </c>
      <c r="C8" s="50" t="s">
        <v>429</v>
      </c>
      <c r="D8" s="146">
        <v>145.19999999999999</v>
      </c>
      <c r="E8" s="146">
        <f>PRODUCT(B8,D8)</f>
        <v>145.19999999999999</v>
      </c>
      <c r="F8" s="71"/>
    </row>
    <row r="9" spans="1:6">
      <c r="A9" s="96"/>
      <c r="B9" s="49"/>
      <c r="C9" s="47"/>
      <c r="D9" s="147"/>
      <c r="E9" s="147"/>
      <c r="F9" s="70">
        <f>SUM(E8,)</f>
        <v>145.19999999999999</v>
      </c>
    </row>
    <row r="10" spans="1:6">
      <c r="A10" s="118"/>
      <c r="B10" s="103"/>
      <c r="C10" s="113"/>
      <c r="D10" s="148"/>
      <c r="E10" s="148"/>
      <c r="F10" s="89"/>
    </row>
    <row r="11" spans="1:6">
      <c r="A11" s="117"/>
      <c r="B11" s="59" t="s">
        <v>104</v>
      </c>
      <c r="C11" s="116" t="s">
        <v>549</v>
      </c>
      <c r="D11" s="149"/>
      <c r="E11" s="149"/>
      <c r="F11" s="99"/>
    </row>
    <row r="12" spans="1:6">
      <c r="A12" s="98" t="s">
        <v>91</v>
      </c>
      <c r="B12" s="97" t="s">
        <v>504</v>
      </c>
      <c r="C12" s="54" t="s">
        <v>133</v>
      </c>
      <c r="D12" s="145" t="s">
        <v>17</v>
      </c>
      <c r="E12" s="145" t="s">
        <v>503</v>
      </c>
      <c r="F12" s="53" t="s">
        <v>16</v>
      </c>
    </row>
    <row r="13" spans="1:6">
      <c r="A13" s="105">
        <v>9970</v>
      </c>
      <c r="B13" s="65">
        <v>1</v>
      </c>
      <c r="C13" s="50" t="s">
        <v>430</v>
      </c>
      <c r="D13" s="146">
        <v>450</v>
      </c>
      <c r="E13" s="146">
        <f>PRODUCT(B13,D13)</f>
        <v>450</v>
      </c>
      <c r="F13" s="71"/>
    </row>
    <row r="14" spans="1:6">
      <c r="A14" s="96"/>
      <c r="B14" s="49"/>
      <c r="C14" s="47"/>
      <c r="D14" s="147"/>
      <c r="E14" s="147"/>
      <c r="F14" s="70">
        <f>SUM(E12:F13)</f>
        <v>450</v>
      </c>
    </row>
    <row r="15" spans="1:6">
      <c r="A15" s="119"/>
      <c r="B15" s="46"/>
      <c r="C15" s="44"/>
      <c r="F15" s="45"/>
    </row>
    <row r="16" spans="1:6">
      <c r="A16" s="123"/>
      <c r="B16" s="59" t="s">
        <v>105</v>
      </c>
      <c r="C16" s="116" t="s">
        <v>548</v>
      </c>
      <c r="D16" s="149"/>
      <c r="E16" s="149"/>
      <c r="F16" s="99"/>
    </row>
    <row r="17" spans="1:6">
      <c r="A17" s="98" t="s">
        <v>91</v>
      </c>
      <c r="B17" s="97" t="s">
        <v>504</v>
      </c>
      <c r="C17" s="54" t="s">
        <v>133</v>
      </c>
      <c r="D17" s="145" t="s">
        <v>17</v>
      </c>
      <c r="E17" s="145" t="s">
        <v>503</v>
      </c>
      <c r="F17" s="53" t="s">
        <v>16</v>
      </c>
    </row>
    <row r="18" spans="1:6">
      <c r="A18" s="105">
        <v>9973</v>
      </c>
      <c r="B18" s="65">
        <v>1</v>
      </c>
      <c r="C18" s="50" t="s">
        <v>433</v>
      </c>
      <c r="D18" s="146">
        <v>165</v>
      </c>
      <c r="E18" s="146">
        <f>PRODUCT(B18,D18)</f>
        <v>165</v>
      </c>
      <c r="F18" s="71"/>
    </row>
    <row r="19" spans="1:6">
      <c r="A19" s="96"/>
      <c r="B19" s="49"/>
      <c r="C19" s="47"/>
      <c r="D19" s="147"/>
      <c r="E19" s="147"/>
      <c r="F19" s="70">
        <f>SUM(E17:F18)</f>
        <v>165</v>
      </c>
    </row>
    <row r="20" spans="1:6">
      <c r="A20" s="95"/>
      <c r="B20" s="46"/>
      <c r="C20" s="44"/>
      <c r="F20" s="45"/>
    </row>
  </sheetData>
  <sheetProtection sheet="1" objects="1" scenarios="1"/>
  <phoneticPr fontId="2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view="pageLayout" topLeftCell="C51" workbookViewId="0">
      <selection activeCell="J43" sqref="J43"/>
    </sheetView>
  </sheetViews>
  <sheetFormatPr defaultColWidth="8.85546875" defaultRowHeight="15"/>
  <cols>
    <col min="1" max="1" width="6.85546875" style="141" customWidth="1"/>
    <col min="2" max="2" width="7" style="46" customWidth="1"/>
    <col min="3" max="3" width="96.140625" style="44" customWidth="1"/>
    <col min="4" max="4" width="10.7109375" style="22" customWidth="1"/>
    <col min="5" max="5" width="10.28515625" style="22" customWidth="1"/>
    <col min="6" max="6" width="10.140625" style="45" customWidth="1"/>
    <col min="7" max="16384" width="8.85546875" style="44"/>
  </cols>
  <sheetData>
    <row r="1" spans="1:6">
      <c r="A1" s="138"/>
      <c r="B1" s="59" t="s">
        <v>125</v>
      </c>
      <c r="C1" s="57" t="s">
        <v>560</v>
      </c>
      <c r="D1" s="144"/>
      <c r="E1" s="144"/>
      <c r="F1" s="76"/>
    </row>
    <row r="2" spans="1:6">
      <c r="A2" s="137" t="s">
        <v>91</v>
      </c>
      <c r="B2" s="97" t="s">
        <v>504</v>
      </c>
      <c r="C2" s="54" t="s">
        <v>133</v>
      </c>
      <c r="D2" s="145" t="s">
        <v>17</v>
      </c>
      <c r="E2" s="145" t="s">
        <v>503</v>
      </c>
      <c r="F2" s="53" t="s">
        <v>16</v>
      </c>
    </row>
    <row r="3" spans="1:6">
      <c r="A3" s="115">
        <v>1002</v>
      </c>
      <c r="B3" s="51">
        <v>1</v>
      </c>
      <c r="C3" s="50" t="s">
        <v>176</v>
      </c>
      <c r="D3" s="146">
        <v>7.28</v>
      </c>
      <c r="E3" s="146">
        <f>PRODUCT(B3,D3)</f>
        <v>7.28</v>
      </c>
      <c r="F3" s="71"/>
    </row>
    <row r="4" spans="1:6">
      <c r="A4" s="115">
        <v>1052</v>
      </c>
      <c r="B4" s="51">
        <v>1</v>
      </c>
      <c r="C4" s="50" t="s">
        <v>182</v>
      </c>
      <c r="D4" s="146">
        <v>11.04</v>
      </c>
      <c r="E4" s="146">
        <f>PRODUCT(B4,D4)</f>
        <v>11.04</v>
      </c>
      <c r="F4" s="71"/>
    </row>
    <row r="5" spans="1:6">
      <c r="A5" s="115">
        <v>1871</v>
      </c>
      <c r="B5" s="51">
        <v>1</v>
      </c>
      <c r="C5" s="50" t="s">
        <v>271</v>
      </c>
      <c r="D5" s="146">
        <v>79.31</v>
      </c>
      <c r="E5" s="146">
        <f>PRODUCT(B5,D5)</f>
        <v>79.31</v>
      </c>
      <c r="F5" s="71"/>
    </row>
    <row r="6" spans="1:6">
      <c r="A6" s="115">
        <v>106</v>
      </c>
      <c r="B6" s="51">
        <v>1</v>
      </c>
      <c r="C6" s="50" t="s">
        <v>26</v>
      </c>
      <c r="D6" s="146">
        <v>2.2999999999999998</v>
      </c>
      <c r="E6" s="146">
        <f>PRODUCT(B6,D6)</f>
        <v>2.2999999999999998</v>
      </c>
      <c r="F6" s="71"/>
    </row>
    <row r="7" spans="1:6">
      <c r="A7" s="136"/>
      <c r="B7" s="80"/>
      <c r="C7" s="47"/>
      <c r="D7" s="147"/>
      <c r="E7" s="147"/>
      <c r="F7" s="48">
        <f>SUM(E3:F6)</f>
        <v>99.929999999999993</v>
      </c>
    </row>
    <row r="8" spans="1:6">
      <c r="A8" s="142"/>
    </row>
    <row r="9" spans="1:6">
      <c r="A9" s="138"/>
      <c r="B9" s="59" t="s">
        <v>124</v>
      </c>
      <c r="C9" s="57" t="s">
        <v>559</v>
      </c>
      <c r="D9" s="144"/>
      <c r="E9" s="144"/>
      <c r="F9" s="76"/>
    </row>
    <row r="10" spans="1:6">
      <c r="A10" s="137" t="s">
        <v>91</v>
      </c>
      <c r="B10" s="55" t="s">
        <v>504</v>
      </c>
      <c r="C10" s="54" t="s">
        <v>133</v>
      </c>
      <c r="D10" s="145" t="s">
        <v>17</v>
      </c>
      <c r="E10" s="145" t="s">
        <v>503</v>
      </c>
      <c r="F10" s="53" t="s">
        <v>16</v>
      </c>
    </row>
    <row r="11" spans="1:6">
      <c r="A11" s="115">
        <v>1002</v>
      </c>
      <c r="B11" s="51">
        <v>1</v>
      </c>
      <c r="C11" s="50" t="s">
        <v>176</v>
      </c>
      <c r="D11" s="146">
        <v>7.28</v>
      </c>
      <c r="E11" s="146">
        <f>PRODUCT(B11,D11)</f>
        <v>7.28</v>
      </c>
      <c r="F11" s="71"/>
    </row>
    <row r="12" spans="1:6">
      <c r="A12" s="115">
        <v>1052</v>
      </c>
      <c r="B12" s="51">
        <v>1</v>
      </c>
      <c r="C12" s="50" t="s">
        <v>182</v>
      </c>
      <c r="D12" s="146">
        <v>11.04</v>
      </c>
      <c r="E12" s="146">
        <f>PRODUCT(B12,D12)</f>
        <v>11.04</v>
      </c>
      <c r="F12" s="71"/>
    </row>
    <row r="13" spans="1:6">
      <c r="A13" s="115">
        <v>1870</v>
      </c>
      <c r="B13" s="51">
        <v>1</v>
      </c>
      <c r="C13" s="50" t="s">
        <v>270</v>
      </c>
      <c r="D13" s="146">
        <v>60.51</v>
      </c>
      <c r="E13" s="146">
        <f>PRODUCT(B13,D13)</f>
        <v>60.51</v>
      </c>
      <c r="F13" s="71"/>
    </row>
    <row r="14" spans="1:6">
      <c r="A14" s="115">
        <v>106</v>
      </c>
      <c r="B14" s="51">
        <v>1</v>
      </c>
      <c r="C14" s="50" t="s">
        <v>26</v>
      </c>
      <c r="D14" s="146">
        <v>2.2999999999999998</v>
      </c>
      <c r="E14" s="146">
        <f>PRODUCT(B14,D14)</f>
        <v>2.2999999999999998</v>
      </c>
      <c r="F14" s="71"/>
    </row>
    <row r="15" spans="1:6">
      <c r="A15" s="136"/>
      <c r="B15" s="80"/>
      <c r="C15" s="47"/>
      <c r="D15" s="147"/>
      <c r="E15" s="147"/>
      <c r="F15" s="48">
        <f>SUM(E11:F14)</f>
        <v>81.13</v>
      </c>
    </row>
    <row r="16" spans="1:6">
      <c r="A16" s="142"/>
    </row>
    <row r="17" spans="1:6">
      <c r="A17" s="138"/>
      <c r="B17" s="59" t="s">
        <v>113</v>
      </c>
      <c r="C17" s="57" t="s">
        <v>502</v>
      </c>
      <c r="D17" s="144"/>
      <c r="E17" s="144"/>
      <c r="F17" s="76"/>
    </row>
    <row r="18" spans="1:6">
      <c r="A18" s="137" t="s">
        <v>91</v>
      </c>
      <c r="B18" s="97" t="s">
        <v>504</v>
      </c>
      <c r="C18" s="54" t="s">
        <v>133</v>
      </c>
      <c r="D18" s="145" t="s">
        <v>17</v>
      </c>
      <c r="E18" s="145" t="s">
        <v>503</v>
      </c>
      <c r="F18" s="53" t="s">
        <v>16</v>
      </c>
    </row>
    <row r="19" spans="1:6">
      <c r="A19" s="115">
        <v>6002</v>
      </c>
      <c r="B19" s="51">
        <v>1</v>
      </c>
      <c r="C19" s="50" t="s">
        <v>176</v>
      </c>
      <c r="D19" s="146">
        <v>7.28</v>
      </c>
      <c r="E19" s="146">
        <f t="shared" ref="E19:E24" si="0">PRODUCT(B19,D19)</f>
        <v>7.28</v>
      </c>
      <c r="F19" s="71"/>
    </row>
    <row r="20" spans="1:6">
      <c r="A20" s="115">
        <v>6118</v>
      </c>
      <c r="B20" s="51">
        <v>2</v>
      </c>
      <c r="C20" s="50" t="s">
        <v>377</v>
      </c>
      <c r="D20" s="146">
        <v>6.18</v>
      </c>
      <c r="E20" s="146">
        <f t="shared" si="0"/>
        <v>12.36</v>
      </c>
      <c r="F20" s="71"/>
    </row>
    <row r="21" spans="1:6">
      <c r="A21" s="115">
        <v>9958</v>
      </c>
      <c r="B21" s="51">
        <v>2</v>
      </c>
      <c r="C21" s="50" t="s">
        <v>425</v>
      </c>
      <c r="D21" s="146">
        <v>18.899999999999999</v>
      </c>
      <c r="E21" s="146">
        <f t="shared" si="0"/>
        <v>37.799999999999997</v>
      </c>
      <c r="F21" s="71"/>
    </row>
    <row r="22" spans="1:6">
      <c r="A22" s="115">
        <v>1052</v>
      </c>
      <c r="B22" s="51">
        <v>1</v>
      </c>
      <c r="C22" s="50" t="s">
        <v>182</v>
      </c>
      <c r="D22" s="146">
        <v>11.04</v>
      </c>
      <c r="E22" s="146">
        <f t="shared" si="0"/>
        <v>11.04</v>
      </c>
      <c r="F22" s="71"/>
    </row>
    <row r="23" spans="1:6">
      <c r="A23" s="115">
        <v>1871</v>
      </c>
      <c r="B23" s="51">
        <v>1</v>
      </c>
      <c r="C23" s="50" t="s">
        <v>271</v>
      </c>
      <c r="D23" s="146">
        <v>79.31</v>
      </c>
      <c r="E23" s="146">
        <f t="shared" si="0"/>
        <v>79.31</v>
      </c>
      <c r="F23" s="71"/>
    </row>
    <row r="24" spans="1:6">
      <c r="A24" s="115">
        <v>106</v>
      </c>
      <c r="B24" s="51">
        <v>1</v>
      </c>
      <c r="C24" s="50" t="s">
        <v>26</v>
      </c>
      <c r="D24" s="146">
        <v>2.2999999999999998</v>
      </c>
      <c r="E24" s="146">
        <f t="shared" si="0"/>
        <v>2.2999999999999998</v>
      </c>
      <c r="F24" s="71"/>
    </row>
    <row r="25" spans="1:6">
      <c r="A25" s="136"/>
      <c r="B25" s="80"/>
      <c r="C25" s="47"/>
      <c r="D25" s="147"/>
      <c r="E25" s="147"/>
      <c r="F25" s="48">
        <f>SUM(E19:F24)</f>
        <v>150.09</v>
      </c>
    </row>
    <row r="26" spans="1:6">
      <c r="A26" s="143"/>
    </row>
    <row r="27" spans="1:6">
      <c r="A27" s="138"/>
      <c r="B27" s="59" t="s">
        <v>113</v>
      </c>
      <c r="C27" s="57" t="s">
        <v>501</v>
      </c>
      <c r="D27" s="144"/>
      <c r="E27" s="144"/>
      <c r="F27" s="76"/>
    </row>
    <row r="28" spans="1:6">
      <c r="A28" s="137" t="s">
        <v>91</v>
      </c>
      <c r="B28" s="55" t="s">
        <v>504</v>
      </c>
      <c r="C28" s="54" t="s">
        <v>133</v>
      </c>
      <c r="D28" s="145" t="s">
        <v>17</v>
      </c>
      <c r="E28" s="145" t="s">
        <v>503</v>
      </c>
      <c r="F28" s="53" t="s">
        <v>16</v>
      </c>
    </row>
    <row r="29" spans="1:6">
      <c r="A29" s="115">
        <v>6002</v>
      </c>
      <c r="B29" s="51">
        <v>1</v>
      </c>
      <c r="C29" s="50" t="s">
        <v>176</v>
      </c>
      <c r="D29" s="146">
        <v>7.28</v>
      </c>
      <c r="E29" s="146">
        <f t="shared" ref="E29:E34" si="1">PRODUCT(B29,D29)</f>
        <v>7.28</v>
      </c>
      <c r="F29" s="71"/>
    </row>
    <row r="30" spans="1:6">
      <c r="A30" s="115">
        <v>6118</v>
      </c>
      <c r="B30" s="51">
        <v>3</v>
      </c>
      <c r="C30" s="50" t="s">
        <v>377</v>
      </c>
      <c r="D30" s="146">
        <v>6.18</v>
      </c>
      <c r="E30" s="146">
        <f t="shared" si="1"/>
        <v>18.54</v>
      </c>
      <c r="F30" s="71"/>
    </row>
    <row r="31" spans="1:6">
      <c r="A31" s="115">
        <v>9958</v>
      </c>
      <c r="B31" s="51">
        <v>3</v>
      </c>
      <c r="C31" s="50" t="s">
        <v>425</v>
      </c>
      <c r="D31" s="146">
        <v>18.899999999999999</v>
      </c>
      <c r="E31" s="146">
        <f t="shared" si="1"/>
        <v>56.699999999999996</v>
      </c>
      <c r="F31" s="71"/>
    </row>
    <row r="32" spans="1:6">
      <c r="A32" s="115">
        <v>1052</v>
      </c>
      <c r="B32" s="51">
        <v>1</v>
      </c>
      <c r="C32" s="50" t="s">
        <v>182</v>
      </c>
      <c r="D32" s="146">
        <v>11.04</v>
      </c>
      <c r="E32" s="146">
        <f t="shared" si="1"/>
        <v>11.04</v>
      </c>
      <c r="F32" s="71"/>
    </row>
    <row r="33" spans="1:6">
      <c r="A33" s="115">
        <v>1871</v>
      </c>
      <c r="B33" s="51">
        <v>1</v>
      </c>
      <c r="C33" s="50" t="s">
        <v>271</v>
      </c>
      <c r="D33" s="146">
        <v>79.31</v>
      </c>
      <c r="E33" s="146">
        <f t="shared" si="1"/>
        <v>79.31</v>
      </c>
      <c r="F33" s="71"/>
    </row>
    <row r="34" spans="1:6">
      <c r="A34" s="115">
        <v>106</v>
      </c>
      <c r="B34" s="51">
        <v>1</v>
      </c>
      <c r="C34" s="50" t="s">
        <v>26</v>
      </c>
      <c r="D34" s="146">
        <v>2.2999999999999998</v>
      </c>
      <c r="E34" s="146">
        <f t="shared" si="1"/>
        <v>2.2999999999999998</v>
      </c>
      <c r="F34" s="71"/>
    </row>
    <row r="35" spans="1:6">
      <c r="A35" s="136"/>
      <c r="B35" s="80"/>
      <c r="C35" s="47"/>
      <c r="D35" s="147"/>
      <c r="E35" s="147"/>
      <c r="F35" s="48">
        <f>SUM(E29:F34)</f>
        <v>175.17000000000002</v>
      </c>
    </row>
    <row r="36" spans="1:6">
      <c r="A36" s="142"/>
    </row>
    <row r="37" spans="1:6">
      <c r="A37" s="138"/>
      <c r="B37" s="59" t="s">
        <v>113</v>
      </c>
      <c r="C37" s="57" t="s">
        <v>500</v>
      </c>
      <c r="D37" s="144"/>
      <c r="E37" s="144"/>
      <c r="F37" s="76"/>
    </row>
    <row r="38" spans="1:6">
      <c r="A38" s="137" t="s">
        <v>91</v>
      </c>
      <c r="B38" s="97" t="s">
        <v>504</v>
      </c>
      <c r="C38" s="54" t="s">
        <v>133</v>
      </c>
      <c r="D38" s="145" t="s">
        <v>17</v>
      </c>
      <c r="E38" s="145" t="s">
        <v>503</v>
      </c>
      <c r="F38" s="53" t="s">
        <v>16</v>
      </c>
    </row>
    <row r="39" spans="1:6">
      <c r="A39" s="115">
        <v>6002</v>
      </c>
      <c r="B39" s="51">
        <v>1</v>
      </c>
      <c r="C39" s="50" t="s">
        <v>176</v>
      </c>
      <c r="D39" s="146">
        <v>7.28</v>
      </c>
      <c r="E39" s="146">
        <f t="shared" ref="E39:E44" si="2">PRODUCT(B39,D39)</f>
        <v>7.28</v>
      </c>
      <c r="F39" s="71"/>
    </row>
    <row r="40" spans="1:6">
      <c r="A40" s="115">
        <v>6118</v>
      </c>
      <c r="B40" s="51">
        <v>4</v>
      </c>
      <c r="C40" s="50" t="s">
        <v>377</v>
      </c>
      <c r="D40" s="146">
        <v>6.18</v>
      </c>
      <c r="E40" s="146">
        <f t="shared" si="2"/>
        <v>24.72</v>
      </c>
      <c r="F40" s="71"/>
    </row>
    <row r="41" spans="1:6">
      <c r="A41" s="115">
        <v>9958</v>
      </c>
      <c r="B41" s="51">
        <v>4</v>
      </c>
      <c r="C41" s="50" t="s">
        <v>425</v>
      </c>
      <c r="D41" s="146">
        <v>18.899999999999999</v>
      </c>
      <c r="E41" s="146">
        <f t="shared" si="2"/>
        <v>75.599999999999994</v>
      </c>
      <c r="F41" s="71"/>
    </row>
    <row r="42" spans="1:6">
      <c r="A42" s="115">
        <v>1052</v>
      </c>
      <c r="B42" s="51">
        <v>1</v>
      </c>
      <c r="C42" s="50" t="s">
        <v>182</v>
      </c>
      <c r="D42" s="146">
        <v>11.04</v>
      </c>
      <c r="E42" s="146">
        <f t="shared" si="2"/>
        <v>11.04</v>
      </c>
      <c r="F42" s="71"/>
    </row>
    <row r="43" spans="1:6">
      <c r="A43" s="115">
        <v>1871</v>
      </c>
      <c r="B43" s="51">
        <v>1</v>
      </c>
      <c r="C43" s="50" t="s">
        <v>271</v>
      </c>
      <c r="D43" s="146">
        <v>79.31</v>
      </c>
      <c r="E43" s="146">
        <f t="shared" si="2"/>
        <v>79.31</v>
      </c>
      <c r="F43" s="47"/>
    </row>
    <row r="44" spans="1:6">
      <c r="A44" s="115">
        <v>106</v>
      </c>
      <c r="B44" s="51">
        <v>1</v>
      </c>
      <c r="C44" s="50" t="s">
        <v>26</v>
      </c>
      <c r="D44" s="146">
        <v>2.2999999999999998</v>
      </c>
      <c r="E44" s="146">
        <f t="shared" si="2"/>
        <v>2.2999999999999998</v>
      </c>
      <c r="F44" s="71"/>
    </row>
    <row r="45" spans="1:6">
      <c r="A45" s="136"/>
      <c r="B45" s="80"/>
      <c r="C45" s="47"/>
      <c r="D45" s="147"/>
      <c r="E45" s="147"/>
      <c r="F45" s="48">
        <f>SUM(E39:E44)</f>
        <v>200.25</v>
      </c>
    </row>
    <row r="46" spans="1:6">
      <c r="A46" s="142"/>
    </row>
    <row r="47" spans="1:6">
      <c r="A47" s="138"/>
      <c r="B47" s="59" t="s">
        <v>113</v>
      </c>
      <c r="C47" s="57" t="s">
        <v>499</v>
      </c>
      <c r="D47" s="144"/>
      <c r="E47" s="144"/>
      <c r="F47" s="76"/>
    </row>
    <row r="48" spans="1:6">
      <c r="A48" s="137" t="s">
        <v>91</v>
      </c>
      <c r="B48" s="55" t="s">
        <v>504</v>
      </c>
      <c r="C48" s="54" t="s">
        <v>133</v>
      </c>
      <c r="D48" s="145" t="s">
        <v>17</v>
      </c>
      <c r="E48" s="145" t="s">
        <v>503</v>
      </c>
      <c r="F48" s="53" t="s">
        <v>16</v>
      </c>
    </row>
    <row r="49" spans="1:6">
      <c r="A49" s="115">
        <v>6002</v>
      </c>
      <c r="B49" s="51">
        <v>1</v>
      </c>
      <c r="C49" s="50" t="s">
        <v>176</v>
      </c>
      <c r="D49" s="146">
        <v>7.28</v>
      </c>
      <c r="E49" s="146">
        <f t="shared" ref="E49:E54" si="3">PRODUCT(B49,D49)</f>
        <v>7.28</v>
      </c>
      <c r="F49" s="71"/>
    </row>
    <row r="50" spans="1:6">
      <c r="A50" s="115">
        <v>6118</v>
      </c>
      <c r="B50" s="51">
        <v>6</v>
      </c>
      <c r="C50" s="50" t="s">
        <v>377</v>
      </c>
      <c r="D50" s="146">
        <v>6.18</v>
      </c>
      <c r="E50" s="146">
        <f t="shared" si="3"/>
        <v>37.08</v>
      </c>
      <c r="F50" s="71"/>
    </row>
    <row r="51" spans="1:6">
      <c r="A51" s="115">
        <v>9958</v>
      </c>
      <c r="B51" s="51">
        <v>6</v>
      </c>
      <c r="C51" s="50" t="s">
        <v>425</v>
      </c>
      <c r="D51" s="146">
        <v>18.899999999999999</v>
      </c>
      <c r="E51" s="146">
        <f t="shared" si="3"/>
        <v>113.39999999999999</v>
      </c>
      <c r="F51" s="71"/>
    </row>
    <row r="52" spans="1:6">
      <c r="A52" s="115">
        <v>1052</v>
      </c>
      <c r="B52" s="51">
        <v>1</v>
      </c>
      <c r="C52" s="50" t="s">
        <v>182</v>
      </c>
      <c r="D52" s="146">
        <v>11.04</v>
      </c>
      <c r="E52" s="146">
        <f t="shared" si="3"/>
        <v>11.04</v>
      </c>
      <c r="F52" s="71"/>
    </row>
    <row r="53" spans="1:6">
      <c r="A53" s="115">
        <v>1871</v>
      </c>
      <c r="B53" s="51">
        <v>1</v>
      </c>
      <c r="C53" s="50" t="s">
        <v>271</v>
      </c>
      <c r="D53" s="146">
        <v>79.31</v>
      </c>
      <c r="E53" s="146">
        <f t="shared" si="3"/>
        <v>79.31</v>
      </c>
      <c r="F53" s="71"/>
    </row>
    <row r="54" spans="1:6">
      <c r="A54" s="115">
        <v>106</v>
      </c>
      <c r="B54" s="51">
        <v>1</v>
      </c>
      <c r="C54" s="50" t="s">
        <v>26</v>
      </c>
      <c r="D54" s="146">
        <v>2.2999999999999998</v>
      </c>
      <c r="E54" s="146">
        <f t="shared" si="3"/>
        <v>2.2999999999999998</v>
      </c>
      <c r="F54" s="71"/>
    </row>
    <row r="55" spans="1:6">
      <c r="A55" s="136"/>
      <c r="B55" s="80"/>
      <c r="C55" s="47"/>
      <c r="D55" s="147"/>
      <c r="E55" s="147"/>
      <c r="F55" s="48">
        <f>SUM(E49:E54)</f>
        <v>250.41</v>
      </c>
    </row>
    <row r="56" spans="1:6">
      <c r="A56" s="119"/>
    </row>
    <row r="57" spans="1:6">
      <c r="A57" s="138"/>
      <c r="B57" s="59" t="s">
        <v>114</v>
      </c>
      <c r="C57" s="57" t="s">
        <v>498</v>
      </c>
      <c r="D57" s="144"/>
      <c r="E57" s="144"/>
      <c r="F57" s="76"/>
    </row>
    <row r="58" spans="1:6">
      <c r="A58" s="137" t="s">
        <v>91</v>
      </c>
      <c r="B58" s="55" t="s">
        <v>504</v>
      </c>
      <c r="C58" s="54" t="s">
        <v>133</v>
      </c>
      <c r="D58" s="145" t="s">
        <v>17</v>
      </c>
      <c r="E58" s="145" t="s">
        <v>503</v>
      </c>
      <c r="F58" s="53" t="s">
        <v>16</v>
      </c>
    </row>
    <row r="59" spans="1:6">
      <c r="A59" s="115">
        <v>6002</v>
      </c>
      <c r="B59" s="51">
        <v>1</v>
      </c>
      <c r="C59" s="50" t="s">
        <v>176</v>
      </c>
      <c r="D59" s="146">
        <v>7.28</v>
      </c>
      <c r="E59" s="146">
        <f t="shared" ref="E59:E65" si="4">PRODUCT(B59,D59)</f>
        <v>7.28</v>
      </c>
      <c r="F59" s="71"/>
    </row>
    <row r="60" spans="1:6">
      <c r="A60" s="115">
        <v>9957</v>
      </c>
      <c r="B60" s="51">
        <v>2</v>
      </c>
      <c r="C60" s="50" t="s">
        <v>424</v>
      </c>
      <c r="D60" s="146">
        <v>53.75</v>
      </c>
      <c r="E60" s="146">
        <f t="shared" si="4"/>
        <v>107.5</v>
      </c>
      <c r="F60" s="71"/>
    </row>
    <row r="61" spans="1:6">
      <c r="A61" s="115">
        <v>6118</v>
      </c>
      <c r="B61" s="51">
        <v>2</v>
      </c>
      <c r="C61" s="50" t="s">
        <v>377</v>
      </c>
      <c r="D61" s="146">
        <v>6.18</v>
      </c>
      <c r="E61" s="146">
        <f t="shared" si="4"/>
        <v>12.36</v>
      </c>
      <c r="F61" s="71"/>
    </row>
    <row r="62" spans="1:6">
      <c r="A62" s="115">
        <v>9956</v>
      </c>
      <c r="B62" s="51">
        <v>2</v>
      </c>
      <c r="C62" s="50" t="s">
        <v>423</v>
      </c>
      <c r="D62" s="146">
        <v>43.6</v>
      </c>
      <c r="E62" s="146">
        <f t="shared" si="4"/>
        <v>87.2</v>
      </c>
      <c r="F62" s="71"/>
    </row>
    <row r="63" spans="1:6">
      <c r="A63" s="115">
        <v>1052</v>
      </c>
      <c r="B63" s="51">
        <v>1</v>
      </c>
      <c r="C63" s="50" t="s">
        <v>182</v>
      </c>
      <c r="D63" s="146">
        <v>11.04</v>
      </c>
      <c r="E63" s="146">
        <f t="shared" si="4"/>
        <v>11.04</v>
      </c>
      <c r="F63" s="71"/>
    </row>
    <row r="64" spans="1:6">
      <c r="A64" s="115">
        <v>1871</v>
      </c>
      <c r="B64" s="51">
        <v>1</v>
      </c>
      <c r="C64" s="50" t="s">
        <v>271</v>
      </c>
      <c r="D64" s="146">
        <v>79.31</v>
      </c>
      <c r="E64" s="146">
        <f t="shared" si="4"/>
        <v>79.31</v>
      </c>
      <c r="F64" s="71"/>
    </row>
    <row r="65" spans="1:6">
      <c r="A65" s="115">
        <v>106</v>
      </c>
      <c r="B65" s="51">
        <v>1</v>
      </c>
      <c r="C65" s="50" t="s">
        <v>26</v>
      </c>
      <c r="D65" s="146">
        <v>2.2999999999999998</v>
      </c>
      <c r="E65" s="146">
        <f t="shared" si="4"/>
        <v>2.2999999999999998</v>
      </c>
      <c r="F65" s="71"/>
    </row>
    <row r="66" spans="1:6">
      <c r="A66" s="136"/>
      <c r="B66" s="80"/>
      <c r="C66" s="47"/>
      <c r="D66" s="147"/>
      <c r="E66" s="147"/>
      <c r="F66" s="48">
        <f>SUM(E59:E65)</f>
        <v>306.99</v>
      </c>
    </row>
    <row r="67" spans="1:6">
      <c r="A67" s="142"/>
    </row>
    <row r="68" spans="1:6">
      <c r="A68" s="138"/>
      <c r="B68" s="59" t="s">
        <v>115</v>
      </c>
      <c r="C68" s="57" t="s">
        <v>497</v>
      </c>
      <c r="D68" s="144"/>
      <c r="E68" s="144"/>
      <c r="F68" s="76"/>
    </row>
    <row r="69" spans="1:6">
      <c r="A69" s="137" t="s">
        <v>91</v>
      </c>
      <c r="B69" s="55" t="s">
        <v>504</v>
      </c>
      <c r="C69" s="54" t="s">
        <v>133</v>
      </c>
      <c r="D69" s="145" t="s">
        <v>17</v>
      </c>
      <c r="E69" s="145" t="s">
        <v>503</v>
      </c>
      <c r="F69" s="53" t="s">
        <v>16</v>
      </c>
    </row>
    <row r="70" spans="1:6">
      <c r="A70" s="115">
        <v>6002</v>
      </c>
      <c r="B70" s="51">
        <v>1</v>
      </c>
      <c r="C70" s="50" t="s">
        <v>176</v>
      </c>
      <c r="D70" s="146">
        <v>7.28</v>
      </c>
      <c r="E70" s="146">
        <f t="shared" ref="E70:E76" si="5">PRODUCT(B70,D70)</f>
        <v>7.28</v>
      </c>
      <c r="F70" s="71"/>
    </row>
    <row r="71" spans="1:6">
      <c r="A71" s="115">
        <v>9957</v>
      </c>
      <c r="B71" s="51">
        <v>3</v>
      </c>
      <c r="C71" s="50" t="s">
        <v>424</v>
      </c>
      <c r="D71" s="146">
        <v>53.75</v>
      </c>
      <c r="E71" s="146">
        <f t="shared" si="5"/>
        <v>161.25</v>
      </c>
      <c r="F71" s="71"/>
    </row>
    <row r="72" spans="1:6">
      <c r="A72" s="115">
        <v>6118</v>
      </c>
      <c r="B72" s="51">
        <v>3</v>
      </c>
      <c r="C72" s="50" t="s">
        <v>377</v>
      </c>
      <c r="D72" s="146">
        <v>6.18</v>
      </c>
      <c r="E72" s="146">
        <f t="shared" si="5"/>
        <v>18.54</v>
      </c>
      <c r="F72" s="71"/>
    </row>
    <row r="73" spans="1:6">
      <c r="A73" s="115">
        <v>9956</v>
      </c>
      <c r="B73" s="51">
        <v>3</v>
      </c>
      <c r="C73" s="50" t="s">
        <v>423</v>
      </c>
      <c r="D73" s="146">
        <v>43.6</v>
      </c>
      <c r="E73" s="146">
        <f t="shared" si="5"/>
        <v>130.80000000000001</v>
      </c>
      <c r="F73" s="71"/>
    </row>
    <row r="74" spans="1:6">
      <c r="A74" s="115">
        <v>1052</v>
      </c>
      <c r="B74" s="51">
        <v>1</v>
      </c>
      <c r="C74" s="50" t="s">
        <v>182</v>
      </c>
      <c r="D74" s="146">
        <v>11.04</v>
      </c>
      <c r="E74" s="146">
        <f t="shared" si="5"/>
        <v>11.04</v>
      </c>
      <c r="F74" s="71"/>
    </row>
    <row r="75" spans="1:6">
      <c r="A75" s="115">
        <v>1871</v>
      </c>
      <c r="B75" s="51">
        <v>1</v>
      </c>
      <c r="C75" s="50" t="s">
        <v>271</v>
      </c>
      <c r="D75" s="146">
        <v>79.31</v>
      </c>
      <c r="E75" s="146">
        <f t="shared" si="5"/>
        <v>79.31</v>
      </c>
      <c r="F75" s="71"/>
    </row>
    <row r="76" spans="1:6">
      <c r="A76" s="115">
        <v>106</v>
      </c>
      <c r="B76" s="51">
        <v>1</v>
      </c>
      <c r="C76" s="50" t="s">
        <v>26</v>
      </c>
      <c r="D76" s="146">
        <v>2.2999999999999998</v>
      </c>
      <c r="E76" s="146">
        <f t="shared" si="5"/>
        <v>2.2999999999999998</v>
      </c>
      <c r="F76" s="71"/>
    </row>
    <row r="77" spans="1:6">
      <c r="A77" s="136"/>
      <c r="B77" s="80"/>
      <c r="C77" s="47"/>
      <c r="D77" s="147"/>
      <c r="E77" s="147"/>
      <c r="F77" s="48">
        <f>SUM(E70:E76)</f>
        <v>410.52000000000004</v>
      </c>
    </row>
    <row r="78" spans="1:6">
      <c r="A78" s="142"/>
    </row>
    <row r="79" spans="1:6">
      <c r="A79" s="138"/>
      <c r="B79" s="59" t="s">
        <v>115</v>
      </c>
      <c r="C79" s="57" t="s">
        <v>496</v>
      </c>
      <c r="D79" s="144"/>
      <c r="E79" s="144"/>
      <c r="F79" s="76"/>
    </row>
    <row r="80" spans="1:6">
      <c r="A80" s="137" t="s">
        <v>91</v>
      </c>
      <c r="B80" s="55" t="s">
        <v>504</v>
      </c>
      <c r="C80" s="54" t="s">
        <v>133</v>
      </c>
      <c r="D80" s="145" t="s">
        <v>17</v>
      </c>
      <c r="E80" s="145" t="s">
        <v>503</v>
      </c>
      <c r="F80" s="53" t="s">
        <v>16</v>
      </c>
    </row>
    <row r="81" spans="1:6">
      <c r="A81" s="115">
        <v>6002</v>
      </c>
      <c r="B81" s="51">
        <v>1</v>
      </c>
      <c r="C81" s="50" t="s">
        <v>176</v>
      </c>
      <c r="D81" s="146">
        <v>7.28</v>
      </c>
      <c r="E81" s="146">
        <f t="shared" ref="E81:E87" si="6">PRODUCT(B81,D81)</f>
        <v>7.28</v>
      </c>
      <c r="F81" s="71"/>
    </row>
    <row r="82" spans="1:6">
      <c r="A82" s="115">
        <v>9957</v>
      </c>
      <c r="B82" s="51">
        <v>4</v>
      </c>
      <c r="C82" s="50" t="s">
        <v>424</v>
      </c>
      <c r="D82" s="146">
        <v>53.75</v>
      </c>
      <c r="E82" s="146">
        <f t="shared" si="6"/>
        <v>215</v>
      </c>
      <c r="F82" s="71"/>
    </row>
    <row r="83" spans="1:6">
      <c r="A83" s="115">
        <v>6118</v>
      </c>
      <c r="B83" s="51">
        <v>4</v>
      </c>
      <c r="C83" s="50" t="s">
        <v>377</v>
      </c>
      <c r="D83" s="146">
        <v>6.18</v>
      </c>
      <c r="E83" s="146">
        <f t="shared" si="6"/>
        <v>24.72</v>
      </c>
      <c r="F83" s="71"/>
    </row>
    <row r="84" spans="1:6">
      <c r="A84" s="115">
        <v>9956</v>
      </c>
      <c r="B84" s="51">
        <v>4</v>
      </c>
      <c r="C84" s="50" t="s">
        <v>423</v>
      </c>
      <c r="D84" s="146">
        <v>43.6</v>
      </c>
      <c r="E84" s="146">
        <f t="shared" si="6"/>
        <v>174.4</v>
      </c>
      <c r="F84" s="71"/>
    </row>
    <row r="85" spans="1:6">
      <c r="A85" s="115">
        <v>1052</v>
      </c>
      <c r="B85" s="51">
        <v>1</v>
      </c>
      <c r="C85" s="50" t="s">
        <v>182</v>
      </c>
      <c r="D85" s="146">
        <v>11.04</v>
      </c>
      <c r="E85" s="146">
        <f t="shared" si="6"/>
        <v>11.04</v>
      </c>
      <c r="F85" s="71"/>
    </row>
    <row r="86" spans="1:6">
      <c r="A86" s="115">
        <v>1871</v>
      </c>
      <c r="B86" s="51">
        <v>1</v>
      </c>
      <c r="C86" s="50" t="s">
        <v>271</v>
      </c>
      <c r="D86" s="146">
        <v>79.31</v>
      </c>
      <c r="E86" s="146">
        <f t="shared" si="6"/>
        <v>79.31</v>
      </c>
      <c r="F86" s="71"/>
    </row>
    <row r="87" spans="1:6">
      <c r="A87" s="115">
        <v>106</v>
      </c>
      <c r="B87" s="51">
        <v>1</v>
      </c>
      <c r="C87" s="50" t="s">
        <v>26</v>
      </c>
      <c r="D87" s="146">
        <v>2.2999999999999998</v>
      </c>
      <c r="E87" s="146">
        <f t="shared" si="6"/>
        <v>2.2999999999999998</v>
      </c>
      <c r="F87" s="71"/>
    </row>
    <row r="88" spans="1:6">
      <c r="A88" s="136"/>
      <c r="B88" s="80"/>
      <c r="C88" s="47"/>
      <c r="D88" s="147"/>
      <c r="E88" s="147"/>
      <c r="F88" s="48">
        <f>SUM(E81:E87)</f>
        <v>514.04999999999995</v>
      </c>
    </row>
    <row r="89" spans="1:6">
      <c r="A89" s="142"/>
    </row>
    <row r="90" spans="1:6">
      <c r="A90" s="138"/>
      <c r="B90" s="59" t="s">
        <v>116</v>
      </c>
      <c r="C90" s="57" t="s">
        <v>495</v>
      </c>
      <c r="D90" s="144"/>
      <c r="E90" s="144"/>
      <c r="F90" s="76"/>
    </row>
    <row r="91" spans="1:6">
      <c r="A91" s="137" t="s">
        <v>91</v>
      </c>
      <c r="B91" s="55" t="s">
        <v>504</v>
      </c>
      <c r="C91" s="54" t="s">
        <v>133</v>
      </c>
      <c r="D91" s="145" t="s">
        <v>17</v>
      </c>
      <c r="E91" s="145" t="s">
        <v>503</v>
      </c>
      <c r="F91" s="53" t="s">
        <v>16</v>
      </c>
    </row>
    <row r="92" spans="1:6">
      <c r="A92" s="115">
        <v>6002</v>
      </c>
      <c r="B92" s="51">
        <v>1</v>
      </c>
      <c r="C92" s="50" t="s">
        <v>176</v>
      </c>
      <c r="D92" s="146">
        <v>7.28</v>
      </c>
      <c r="E92" s="146">
        <f t="shared" ref="E92:E98" si="7">PRODUCT(B92,D92)</f>
        <v>7.28</v>
      </c>
      <c r="F92" s="71"/>
    </row>
    <row r="93" spans="1:6">
      <c r="A93" s="115">
        <v>9957</v>
      </c>
      <c r="B93" s="51">
        <v>6</v>
      </c>
      <c r="C93" s="50" t="s">
        <v>424</v>
      </c>
      <c r="D93" s="146">
        <v>53.75</v>
      </c>
      <c r="E93" s="146">
        <f t="shared" si="7"/>
        <v>322.5</v>
      </c>
      <c r="F93" s="71"/>
    </row>
    <row r="94" spans="1:6">
      <c r="A94" s="115">
        <v>6118</v>
      </c>
      <c r="B94" s="51">
        <v>6</v>
      </c>
      <c r="C94" s="50" t="s">
        <v>377</v>
      </c>
      <c r="D94" s="146">
        <v>6.18</v>
      </c>
      <c r="E94" s="146">
        <f t="shared" si="7"/>
        <v>37.08</v>
      </c>
      <c r="F94" s="71"/>
    </row>
    <row r="95" spans="1:6">
      <c r="A95" s="115">
        <v>9956</v>
      </c>
      <c r="B95" s="51">
        <v>6</v>
      </c>
      <c r="C95" s="50" t="s">
        <v>423</v>
      </c>
      <c r="D95" s="146">
        <v>43.6</v>
      </c>
      <c r="E95" s="146">
        <f t="shared" si="7"/>
        <v>261.60000000000002</v>
      </c>
      <c r="F95" s="71"/>
    </row>
    <row r="96" spans="1:6">
      <c r="A96" s="115">
        <v>1052</v>
      </c>
      <c r="B96" s="51">
        <v>1</v>
      </c>
      <c r="C96" s="50" t="s">
        <v>182</v>
      </c>
      <c r="D96" s="146">
        <v>11.04</v>
      </c>
      <c r="E96" s="146">
        <f t="shared" si="7"/>
        <v>11.04</v>
      </c>
      <c r="F96" s="71"/>
    </row>
    <row r="97" spans="1:6">
      <c r="A97" s="115">
        <v>1871</v>
      </c>
      <c r="B97" s="51">
        <v>1</v>
      </c>
      <c r="C97" s="50" t="s">
        <v>271</v>
      </c>
      <c r="D97" s="146">
        <v>79.31</v>
      </c>
      <c r="E97" s="146">
        <f t="shared" si="7"/>
        <v>79.31</v>
      </c>
      <c r="F97" s="71"/>
    </row>
    <row r="98" spans="1:6">
      <c r="A98" s="115">
        <v>106</v>
      </c>
      <c r="B98" s="51">
        <v>1</v>
      </c>
      <c r="C98" s="50" t="s">
        <v>26</v>
      </c>
      <c r="D98" s="146">
        <v>2.2999999999999998</v>
      </c>
      <c r="E98" s="146">
        <f t="shared" si="7"/>
        <v>2.2999999999999998</v>
      </c>
      <c r="F98" s="71"/>
    </row>
    <row r="99" spans="1:6">
      <c r="A99" s="136"/>
      <c r="B99" s="80"/>
      <c r="C99" s="47"/>
      <c r="D99" s="147"/>
      <c r="E99" s="147"/>
      <c r="F99" s="48">
        <f>SUM(E92:E98)</f>
        <v>721.1099999999999</v>
      </c>
    </row>
    <row r="100" spans="1:6">
      <c r="A100" s="142"/>
    </row>
    <row r="101" spans="1:6" ht="15.75">
      <c r="A101" s="82"/>
      <c r="B101" s="77"/>
      <c r="C101" s="57" t="s">
        <v>508</v>
      </c>
      <c r="D101" s="144"/>
      <c r="E101" s="144"/>
      <c r="F101" s="76"/>
    </row>
    <row r="102" spans="1:6" ht="15.75">
      <c r="A102" s="56" t="s">
        <v>91</v>
      </c>
      <c r="B102" s="55" t="s">
        <v>504</v>
      </c>
      <c r="C102" s="54" t="s">
        <v>133</v>
      </c>
      <c r="D102" s="145" t="s">
        <v>17</v>
      </c>
      <c r="E102" s="145" t="s">
        <v>503</v>
      </c>
      <c r="F102" s="53" t="s">
        <v>16</v>
      </c>
    </row>
    <row r="103" spans="1:6" ht="15.75">
      <c r="A103" s="52">
        <v>1771</v>
      </c>
      <c r="B103" s="51">
        <v>1</v>
      </c>
      <c r="C103" s="50" t="s">
        <v>161</v>
      </c>
      <c r="D103" s="146">
        <v>92.65</v>
      </c>
      <c r="E103" s="146">
        <f>D103*B103</f>
        <v>92.65</v>
      </c>
      <c r="F103" s="71"/>
    </row>
    <row r="104" spans="1:6" ht="15.75">
      <c r="A104" s="81"/>
      <c r="B104" s="80"/>
      <c r="C104" s="47"/>
      <c r="D104" s="147"/>
      <c r="E104" s="147"/>
      <c r="F104" s="48">
        <f>SUM(E103)</f>
        <v>92.65</v>
      </c>
    </row>
    <row r="105" spans="1:6">
      <c r="A105" s="119"/>
    </row>
    <row r="106" spans="1:6">
      <c r="A106" s="138"/>
      <c r="B106" s="59"/>
      <c r="C106" s="57" t="s">
        <v>494</v>
      </c>
      <c r="D106" s="144"/>
      <c r="E106" s="144"/>
      <c r="F106" s="76"/>
    </row>
    <row r="107" spans="1:6">
      <c r="A107" s="137" t="s">
        <v>91</v>
      </c>
      <c r="B107" s="97" t="s">
        <v>504</v>
      </c>
      <c r="C107" s="54" t="s">
        <v>133</v>
      </c>
      <c r="D107" s="145" t="s">
        <v>17</v>
      </c>
      <c r="E107" s="145" t="s">
        <v>503</v>
      </c>
      <c r="F107" s="53" t="s">
        <v>16</v>
      </c>
    </row>
    <row r="108" spans="1:6">
      <c r="A108" s="115">
        <v>1951</v>
      </c>
      <c r="B108" s="51">
        <v>1</v>
      </c>
      <c r="C108" s="50" t="s">
        <v>188</v>
      </c>
      <c r="D108" s="146">
        <v>27.04</v>
      </c>
      <c r="E108" s="146">
        <f>PRODUCT(B108,D108)</f>
        <v>27.04</v>
      </c>
      <c r="F108" s="71"/>
    </row>
    <row r="109" spans="1:6">
      <c r="A109" s="115">
        <v>9960</v>
      </c>
      <c r="B109" s="51">
        <v>1</v>
      </c>
      <c r="C109" s="50" t="s">
        <v>428</v>
      </c>
      <c r="D109" s="146">
        <v>82.75</v>
      </c>
      <c r="E109" s="146">
        <f>PRODUCT(B109,D109)</f>
        <v>82.75</v>
      </c>
      <c r="F109" s="71"/>
    </row>
    <row r="110" spans="1:6">
      <c r="A110" s="136"/>
      <c r="B110" s="80"/>
      <c r="C110" s="47"/>
      <c r="D110" s="147"/>
      <c r="E110" s="147"/>
      <c r="F110" s="48">
        <f>SUM(E108:E109)</f>
        <v>109.78999999999999</v>
      </c>
    </row>
    <row r="111" spans="1:6">
      <c r="A111" s="142"/>
    </row>
    <row r="112" spans="1:6">
      <c r="A112" s="138"/>
      <c r="B112" s="59"/>
      <c r="C112" s="57" t="s">
        <v>493</v>
      </c>
      <c r="D112" s="144"/>
      <c r="E112" s="144"/>
      <c r="F112" s="76"/>
    </row>
    <row r="113" spans="1:6">
      <c r="A113" s="137" t="s">
        <v>91</v>
      </c>
      <c r="B113" s="97" t="s">
        <v>504</v>
      </c>
      <c r="C113" s="54" t="s">
        <v>133</v>
      </c>
      <c r="D113" s="145" t="s">
        <v>17</v>
      </c>
      <c r="E113" s="145" t="s">
        <v>503</v>
      </c>
      <c r="F113" s="53" t="s">
        <v>16</v>
      </c>
    </row>
    <row r="114" spans="1:6">
      <c r="A114" s="115">
        <v>1952</v>
      </c>
      <c r="B114" s="51">
        <v>1</v>
      </c>
      <c r="C114" s="50" t="s">
        <v>189</v>
      </c>
      <c r="D114" s="146">
        <v>27.04</v>
      </c>
      <c r="E114" s="146">
        <f>PRODUCT(B114,D114)</f>
        <v>27.04</v>
      </c>
      <c r="F114" s="71"/>
    </row>
    <row r="115" spans="1:6">
      <c r="A115" s="115">
        <v>9953</v>
      </c>
      <c r="B115" s="51">
        <v>30</v>
      </c>
      <c r="C115" s="50" t="s">
        <v>426</v>
      </c>
      <c r="D115" s="146">
        <v>4.95</v>
      </c>
      <c r="E115" s="146">
        <f>PRODUCT(B115,D115)</f>
        <v>148.5</v>
      </c>
      <c r="F115" s="71"/>
    </row>
    <row r="116" spans="1:6">
      <c r="A116" s="136"/>
      <c r="B116" s="80"/>
      <c r="C116" s="47"/>
      <c r="D116" s="147"/>
      <c r="E116" s="147"/>
      <c r="F116" s="48">
        <f>SUM(E114:E115)</f>
        <v>175.54</v>
      </c>
    </row>
    <row r="117" spans="1:6">
      <c r="A117" s="142"/>
    </row>
    <row r="118" spans="1:6">
      <c r="A118" s="138"/>
      <c r="B118" s="59"/>
      <c r="C118" s="57" t="s">
        <v>492</v>
      </c>
      <c r="D118" s="144"/>
      <c r="E118" s="144"/>
      <c r="F118" s="76"/>
    </row>
    <row r="119" spans="1:6">
      <c r="A119" s="137" t="s">
        <v>91</v>
      </c>
      <c r="B119" s="97" t="s">
        <v>504</v>
      </c>
      <c r="C119" s="54" t="s">
        <v>133</v>
      </c>
      <c r="D119" s="145" t="s">
        <v>17</v>
      </c>
      <c r="E119" s="145" t="s">
        <v>503</v>
      </c>
      <c r="F119" s="53" t="s">
        <v>16</v>
      </c>
    </row>
    <row r="120" spans="1:6">
      <c r="A120" s="115">
        <v>1952</v>
      </c>
      <c r="B120" s="51">
        <v>1</v>
      </c>
      <c r="C120" s="50" t="s">
        <v>189</v>
      </c>
      <c r="D120" s="146">
        <v>27.04</v>
      </c>
      <c r="E120" s="146">
        <f>PRODUCT(B120,D120)</f>
        <v>27.04</v>
      </c>
      <c r="F120" s="71"/>
    </row>
    <row r="121" spans="1:6">
      <c r="A121" s="115">
        <v>9953</v>
      </c>
      <c r="B121" s="51">
        <v>10</v>
      </c>
      <c r="C121" s="50" t="s">
        <v>426</v>
      </c>
      <c r="D121" s="146">
        <v>4.95</v>
      </c>
      <c r="E121" s="146">
        <f>PRODUCT(B121,D121)</f>
        <v>49.5</v>
      </c>
      <c r="F121" s="71"/>
    </row>
    <row r="122" spans="1:6">
      <c r="A122" s="136"/>
      <c r="B122" s="80"/>
      <c r="C122" s="47"/>
      <c r="D122" s="147"/>
      <c r="E122" s="147"/>
      <c r="F122" s="48">
        <f>SUM(E120:E121)</f>
        <v>76.539999999999992</v>
      </c>
    </row>
  </sheetData>
  <sheetProtection sheet="1" objects="1" scenarios="1"/>
  <phoneticPr fontId="26" type="noConversion"/>
  <pageMargins left="0.7" right="0.7" top="0.75" bottom="0.75" header="0.3" footer="0.3"/>
  <pageSetup paperSize="9" orientation="landscape" r:id="rId1"/>
  <rowBreaks count="14" manualBreakCount="14">
    <brk id="16" max="16383" man="1"/>
    <brk id="26" max="5" man="1"/>
    <brk id="36" max="5" man="1"/>
    <brk id="65" max="5" man="1"/>
    <brk id="76" max="5" man="1"/>
    <brk id="224" max="16383" man="1"/>
    <brk id="248" max="16383" man="1"/>
    <brk id="272" max="16383" man="1"/>
    <brk id="299" max="16383" man="1"/>
    <brk id="386" max="16383" man="1"/>
    <brk id="423" max="16383" man="1"/>
    <brk id="459" max="16383" man="1"/>
    <brk id="496" max="16383" man="1"/>
    <brk id="532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J43" sqref="J43"/>
    </sheetView>
  </sheetViews>
  <sheetFormatPr defaultColWidth="8.85546875" defaultRowHeight="15"/>
  <sheetData>
    <row r="1" spans="1:1">
      <c r="A1" s="104" t="s">
        <v>529</v>
      </c>
    </row>
    <row r="2" spans="1:1">
      <c r="A2" t="s">
        <v>528</v>
      </c>
    </row>
    <row r="3" spans="1:1">
      <c r="A3" t="s">
        <v>567</v>
      </c>
    </row>
    <row r="4" spans="1:1">
      <c r="A4" t="s">
        <v>566</v>
      </c>
    </row>
    <row r="5" spans="1:1">
      <c r="A5" t="s">
        <v>565</v>
      </c>
    </row>
    <row r="6" spans="1:1">
      <c r="A6" t="s">
        <v>564</v>
      </c>
    </row>
    <row r="7" spans="1:1">
      <c r="A7" t="s">
        <v>563</v>
      </c>
    </row>
    <row r="8" spans="1:1">
      <c r="A8" t="s">
        <v>562</v>
      </c>
    </row>
    <row r="9" spans="1:1">
      <c r="A9" t="s">
        <v>561</v>
      </c>
    </row>
  </sheetData>
  <sheetProtection sheet="1" objects="1" scenarios="1"/>
  <phoneticPr fontId="2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ColWidth="11.42578125" defaultRowHeight="15"/>
  <sheetData/>
  <phoneticPr fontId="26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71"/>
  <sheetViews>
    <sheetView topLeftCell="C1" workbookViewId="0">
      <selection activeCell="P1" sqref="P1:Z1048576"/>
    </sheetView>
  </sheetViews>
  <sheetFormatPr defaultColWidth="8.85546875" defaultRowHeight="15"/>
  <cols>
    <col min="1" max="1" width="8.710937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6" width="0" hidden="1" customWidth="1"/>
  </cols>
  <sheetData>
    <row r="1" spans="1:24" ht="43.35" customHeight="1">
      <c r="A1" s="298" t="s">
        <v>100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 ht="15" customHeight="1">
      <c r="A4" s="222" t="s">
        <v>22</v>
      </c>
      <c r="B4" s="13" t="s">
        <v>21</v>
      </c>
      <c r="C4" s="14">
        <f>SUM(C53,C59,C60,C61)</f>
        <v>306.58000000000004</v>
      </c>
      <c r="D4" s="14">
        <f>SUM(D53,D59,D60,D61)</f>
        <v>416</v>
      </c>
      <c r="E4" s="10"/>
      <c r="F4" s="14">
        <f>SUM(F53,F59,F60,F61)</f>
        <v>76.64500000000001</v>
      </c>
      <c r="G4" s="14">
        <f>SUM(G53,G59,G60,G61)</f>
        <v>104</v>
      </c>
      <c r="H4" s="175">
        <f>SUM(F4,G4)</f>
        <v>180.64500000000001</v>
      </c>
      <c r="I4" s="5">
        <f>F4/(Kengetallen!C4)</f>
        <v>3.8226932668329181</v>
      </c>
      <c r="J4" s="1">
        <v>84</v>
      </c>
      <c r="K4" s="15">
        <f>ROUNDUP(J4-I4,1)</f>
        <v>80.199999999999989</v>
      </c>
      <c r="L4" s="16">
        <f>D4-G4</f>
        <v>312</v>
      </c>
      <c r="M4" t="b">
        <f>ISBLANK(F4)</f>
        <v>0</v>
      </c>
      <c r="W4" s="216">
        <f>SUM(W5:W68)</f>
        <v>76.64500000000001</v>
      </c>
      <c r="X4" s="216">
        <f>SUM(X5:X68)</f>
        <v>104</v>
      </c>
    </row>
    <row r="5" spans="1:24" s="20" customFormat="1" ht="14.45" hidden="1" customHeight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P21</v>
      </c>
      <c r="S5" t="str">
        <f t="shared" si="0"/>
        <v>Volledig kunstgebit bovenkaak</v>
      </c>
      <c r="T5" s="221">
        <f t="shared" si="0"/>
        <v>161.36000000000001</v>
      </c>
      <c r="U5" s="221">
        <f t="shared" si="0"/>
        <v>365</v>
      </c>
      <c r="V5" s="223">
        <f t="shared" si="0"/>
        <v>0.25</v>
      </c>
      <c r="W5" s="221">
        <f t="shared" si="0"/>
        <v>40.340000000000003</v>
      </c>
      <c r="X5" s="221">
        <f t="shared" si="0"/>
        <v>91.25</v>
      </c>
    </row>
    <row r="6" spans="1:24" s="20" customFormat="1" ht="14.45" hidden="1" customHeight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>P14</v>
      </c>
      <c r="S6" t="str">
        <f t="shared" si="0"/>
        <v>Individuele afdruk met randopbouw</v>
      </c>
      <c r="T6" s="221">
        <f t="shared" si="0"/>
        <v>59.16</v>
      </c>
      <c r="U6" s="221">
        <f t="shared" si="0"/>
        <v>0</v>
      </c>
      <c r="V6" s="223">
        <f t="shared" si="0"/>
        <v>0.25</v>
      </c>
      <c r="W6" s="221">
        <f t="shared" si="0"/>
        <v>14.79</v>
      </c>
      <c r="X6" s="221">
        <f t="shared" si="0"/>
        <v>0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>P37</v>
      </c>
      <c r="S7" t="str">
        <f t="shared" si="0"/>
        <v>Frontopstelling in aparte zitting</v>
      </c>
      <c r="T7" s="221">
        <f t="shared" si="0"/>
        <v>32.270000000000003</v>
      </c>
      <c r="U7" s="221">
        <f t="shared" si="0"/>
        <v>0</v>
      </c>
      <c r="V7" s="223">
        <f t="shared" si="0"/>
        <v>0.25</v>
      </c>
      <c r="W7" s="221">
        <f t="shared" si="0"/>
        <v>8.0675000000000008</v>
      </c>
      <c r="X7" s="221">
        <f t="shared" si="0"/>
        <v>0</v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24"/>
      <c r="H8" s="24"/>
      <c r="M8" s="20" t="b">
        <f t="shared" si="1"/>
        <v>1</v>
      </c>
      <c r="Q8" s="20" t="str">
        <f t="shared" si="2"/>
        <v/>
      </c>
      <c r="R8" t="str">
        <f t="shared" si="0"/>
        <v>P17</v>
      </c>
      <c r="S8" t="str">
        <f t="shared" si="0"/>
        <v>Toeslag voor beetregistratie met specifieke apparatuur</v>
      </c>
      <c r="T8" s="221">
        <f t="shared" si="0"/>
        <v>53.79</v>
      </c>
      <c r="U8" s="221">
        <f t="shared" si="0"/>
        <v>51</v>
      </c>
      <c r="V8" s="223">
        <f t="shared" si="0"/>
        <v>0.25</v>
      </c>
      <c r="W8" s="221">
        <f t="shared" si="0"/>
        <v>13.4475</v>
      </c>
      <c r="X8" s="221">
        <f t="shared" si="0"/>
        <v>12.75</v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>
        <f>C53*E53</f>
        <v>40.340000000000003</v>
      </c>
      <c r="G53" s="179">
        <f>D53*E53</f>
        <v>91.25</v>
      </c>
      <c r="H53" s="24"/>
      <c r="M53" s="20" t="b">
        <f t="shared" si="1"/>
        <v>0</v>
      </c>
      <c r="Q53" s="20">
        <f t="shared" si="2"/>
        <v>53</v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179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179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179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27"/>
      <c r="E59" s="23">
        <f>Kengetallen!F59</f>
        <v>0.25</v>
      </c>
      <c r="F59" s="179">
        <f>C59*E59</f>
        <v>14.79</v>
      </c>
      <c r="G59" s="179"/>
      <c r="H59" s="24"/>
      <c r="M59" s="20" t="b">
        <f t="shared" si="1"/>
        <v>0</v>
      </c>
      <c r="Q59" s="20">
        <f t="shared" si="2"/>
        <v>59</v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27"/>
      <c r="E60" s="23">
        <f>Kengetallen!F60</f>
        <v>0.25</v>
      </c>
      <c r="F60" s="179">
        <f>C60*E60</f>
        <v>8.0675000000000008</v>
      </c>
      <c r="G60" s="179"/>
      <c r="H60" s="24"/>
      <c r="M60" s="20" t="b">
        <f t="shared" si="1"/>
        <v>0</v>
      </c>
      <c r="Q60" s="20">
        <f t="shared" si="2"/>
        <v>60</v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>
        <f>C61*E61</f>
        <v>13.4475</v>
      </c>
      <c r="G61" s="179">
        <f>D61*E61</f>
        <v>12.75</v>
      </c>
      <c r="H61" s="24"/>
      <c r="M61" s="20" t="b">
        <f t="shared" si="1"/>
        <v>0</v>
      </c>
      <c r="Q61" s="20">
        <f t="shared" si="2"/>
        <v>61</v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>
      <c r="I69" s="297" t="s">
        <v>644</v>
      </c>
    </row>
    <row r="70" spans="1:24">
      <c r="I70" s="297"/>
    </row>
    <row r="71" spans="1:24">
      <c r="I71" s="297"/>
    </row>
  </sheetData>
  <sheetProtection sheet="1" objects="1" scenarios="1"/>
  <autoFilter ref="M1:M71">
    <filterColumn colId="0">
      <filters>
        <filter val="ONWAAR"/>
      </filters>
    </filterColumn>
  </autoFilter>
  <mergeCells count="7">
    <mergeCell ref="L2:L3"/>
    <mergeCell ref="I69:I71"/>
    <mergeCell ref="A1:B1"/>
    <mergeCell ref="F1:H1"/>
    <mergeCell ref="F2:H2"/>
    <mergeCell ref="J2:J3"/>
    <mergeCell ref="K2:K3"/>
  </mergeCells>
  <phoneticPr fontId="26" type="noConversion"/>
  <hyperlinks>
    <hyperlink ref="I69:I71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71"/>
  <sheetViews>
    <sheetView topLeftCell="C1" workbookViewId="0">
      <selection activeCell="P1" sqref="P1:Y1048576"/>
    </sheetView>
  </sheetViews>
  <sheetFormatPr defaultColWidth="8.85546875" defaultRowHeight="15"/>
  <cols>
    <col min="1" max="1" width="9.1406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5" width="0" hidden="1" customWidth="1"/>
  </cols>
  <sheetData>
    <row r="1" spans="1:24" ht="43.35" customHeight="1">
      <c r="A1" s="298" t="s">
        <v>646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 ht="15" customHeight="1">
      <c r="A4" s="222" t="s">
        <v>22</v>
      </c>
      <c r="B4" s="13" t="s">
        <v>21</v>
      </c>
      <c r="C4" s="14">
        <f>SUM(C66)</f>
        <v>80.96433797159662</v>
      </c>
      <c r="D4" s="14">
        <f>SUM(D66)</f>
        <v>95</v>
      </c>
      <c r="E4" s="10"/>
      <c r="F4" s="14">
        <f>SUM(F66)</f>
        <v>8.096433797159662</v>
      </c>
      <c r="G4" s="14">
        <f>SUM(G66)</f>
        <v>9.5</v>
      </c>
      <c r="H4" s="175">
        <f>SUM(F4,G4)</f>
        <v>17.596433797159662</v>
      </c>
      <c r="I4" s="5">
        <f>F4/(Kengetallen!C4)</f>
        <v>0.40381215945933474</v>
      </c>
      <c r="J4" s="1">
        <v>24</v>
      </c>
      <c r="K4" s="15">
        <f>ROUNDUP(J4-I4,1)</f>
        <v>23.6</v>
      </c>
      <c r="L4" s="16">
        <f>D4-G4</f>
        <v>85.5</v>
      </c>
      <c r="M4" t="b">
        <f>ISBLANK(F4)</f>
        <v>0</v>
      </c>
      <c r="W4" s="216">
        <f>SUM(W5:W68)</f>
        <v>8.096433797159662</v>
      </c>
      <c r="X4" s="216">
        <f>SUM(X5:X68)</f>
        <v>9.5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P02</v>
      </c>
      <c r="S5" t="str">
        <f t="shared" si="0"/>
        <v>Opvullen volledig kunstgebit, indirect met randopbouw</v>
      </c>
      <c r="T5" s="221">
        <f t="shared" si="0"/>
        <v>80.96433797159662</v>
      </c>
      <c r="U5" s="221">
        <f t="shared" si="0"/>
        <v>95</v>
      </c>
      <c r="V5" s="223">
        <f t="shared" si="0"/>
        <v>0.1</v>
      </c>
      <c r="W5" s="221">
        <f t="shared" si="0"/>
        <v>8.096433797159662</v>
      </c>
      <c r="X5" s="221">
        <f t="shared" si="0"/>
        <v>9.5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/>
      </c>
      <c r="S6" t="str">
        <f t="shared" si="0"/>
        <v/>
      </c>
      <c r="T6" s="221" t="str">
        <f t="shared" si="0"/>
        <v/>
      </c>
      <c r="U6" s="221" t="str">
        <f t="shared" si="0"/>
        <v/>
      </c>
      <c r="V6" s="223" t="str">
        <f t="shared" si="0"/>
        <v/>
      </c>
      <c r="W6" s="221" t="str">
        <f t="shared" si="0"/>
        <v/>
      </c>
      <c r="X6" s="221" t="str">
        <f t="shared" si="0"/>
        <v/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24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179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179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179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179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27"/>
      <c r="E59" s="23">
        <f>Kengetallen!F59</f>
        <v>0.25</v>
      </c>
      <c r="F59" s="179"/>
      <c r="G59" s="179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27"/>
      <c r="E60" s="23">
        <f>Kengetallen!F60</f>
        <v>0.25</v>
      </c>
      <c r="F60" s="179"/>
      <c r="G60" s="179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179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>
        <f>C66*E66</f>
        <v>8.096433797159662</v>
      </c>
      <c r="G66" s="179">
        <f>D66*E66</f>
        <v>9.5</v>
      </c>
      <c r="H66" s="24"/>
      <c r="M66" s="20" t="b">
        <f t="shared" si="1"/>
        <v>0</v>
      </c>
      <c r="Q66" s="20">
        <f t="shared" si="2"/>
        <v>66</v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H68" s="24"/>
      <c r="M68" s="20" t="b">
        <f t="shared" si="1"/>
        <v>1</v>
      </c>
      <c r="Q68" s="20" t="str">
        <f t="shared" si="2"/>
        <v/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>
      <c r="I69" s="297" t="s">
        <v>644</v>
      </c>
    </row>
    <row r="70" spans="1:24">
      <c r="I70" s="297"/>
    </row>
    <row r="71" spans="1:24">
      <c r="I71" s="297"/>
    </row>
  </sheetData>
  <sheetProtection sheet="1" objects="1" scenarios="1"/>
  <autoFilter ref="M1:M71">
    <filterColumn colId="0">
      <filters>
        <filter val="ONWAAR"/>
      </filters>
    </filterColumn>
  </autoFilter>
  <mergeCells count="7">
    <mergeCell ref="L2:L3"/>
    <mergeCell ref="I69:I71"/>
    <mergeCell ref="A1:B1"/>
    <mergeCell ref="F1:H1"/>
    <mergeCell ref="F2:H2"/>
    <mergeCell ref="J2:J3"/>
    <mergeCell ref="K2:K3"/>
  </mergeCells>
  <phoneticPr fontId="26" type="noConversion"/>
  <hyperlinks>
    <hyperlink ref="I69:I71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Y71"/>
  <sheetViews>
    <sheetView workbookViewId="0">
      <selection sqref="A1:B1"/>
    </sheetView>
  </sheetViews>
  <sheetFormatPr defaultColWidth="8.85546875" defaultRowHeight="15"/>
  <cols>
    <col min="1" max="1" width="9.1406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9.140625" hidden="1" customWidth="1"/>
    <col min="22" max="22" width="9.140625" style="223" hidden="1" customWidth="1"/>
    <col min="23" max="25" width="9.140625" hidden="1" customWidth="1"/>
    <col min="26" max="26" width="9.140625" customWidth="1"/>
  </cols>
  <sheetData>
    <row r="1" spans="1:24" ht="43.35" customHeight="1">
      <c r="A1" s="298" t="s">
        <v>645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 ht="15" customHeight="1">
      <c r="A4" s="222" t="s">
        <v>22</v>
      </c>
      <c r="B4" s="13" t="s">
        <v>21</v>
      </c>
      <c r="C4" s="14">
        <f>SUM(C68)</f>
        <v>43.183703916224367</v>
      </c>
      <c r="D4" s="14">
        <f>SUM(D68)</f>
        <v>0</v>
      </c>
      <c r="E4" s="10"/>
      <c r="F4" s="14">
        <f>SUM(F68)</f>
        <v>4.3183703916224365</v>
      </c>
      <c r="G4" s="14">
        <f>SUM(G68)</f>
        <v>0</v>
      </c>
      <c r="H4" s="175">
        <f>SUM(F4,G4)</f>
        <v>4.3183703916224365</v>
      </c>
      <c r="I4" s="5">
        <f>F4/(Kengetallen!C4)</f>
        <v>0.21538006940760282</v>
      </c>
      <c r="J4" s="1">
        <v>12</v>
      </c>
      <c r="K4" s="15">
        <f>ROUNDUP(J4-I4,1)</f>
        <v>11.799999999999999</v>
      </c>
      <c r="L4" s="16">
        <f>D4-G4</f>
        <v>0</v>
      </c>
      <c r="M4" t="b">
        <f>ISBLANK(F4)</f>
        <v>0</v>
      </c>
      <c r="W4" s="216">
        <f>SUM(W5:W68)</f>
        <v>4.3183703916224365</v>
      </c>
      <c r="X4" s="216">
        <f>SUM(X5:X68)</f>
        <v>0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P08</v>
      </c>
      <c r="S5" t="str">
        <f t="shared" si="0"/>
        <v>Reparatie volledig kunstgebit, met afdruk</v>
      </c>
      <c r="T5" s="221">
        <f t="shared" si="0"/>
        <v>43.183703916224367</v>
      </c>
      <c r="U5" s="221">
        <f t="shared" si="0"/>
        <v>0</v>
      </c>
      <c r="V5" s="223">
        <f t="shared" si="0"/>
        <v>0.1</v>
      </c>
      <c r="W5" s="221">
        <f t="shared" si="0"/>
        <v>4.3183703916224365</v>
      </c>
      <c r="X5" s="221">
        <f t="shared" si="0"/>
        <v>0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/>
      </c>
      <c r="S6" t="str">
        <f t="shared" si="0"/>
        <v/>
      </c>
      <c r="T6" s="221" t="str">
        <f t="shared" si="0"/>
        <v/>
      </c>
      <c r="U6" s="221" t="str">
        <f t="shared" si="0"/>
        <v/>
      </c>
      <c r="V6" s="223" t="str">
        <f t="shared" si="0"/>
        <v/>
      </c>
      <c r="W6" s="221" t="str">
        <f t="shared" si="0"/>
        <v/>
      </c>
      <c r="X6" s="221" t="str">
        <f t="shared" si="0"/>
        <v/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24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179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179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179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179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27"/>
      <c r="E59" s="23">
        <f>Kengetallen!F59</f>
        <v>0.25</v>
      </c>
      <c r="F59" s="179"/>
      <c r="G59" s="179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27"/>
      <c r="E60" s="23">
        <f>Kengetallen!F60</f>
        <v>0.25</v>
      </c>
      <c r="F60" s="179"/>
      <c r="G60" s="179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179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179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>
        <f>C68*E68</f>
        <v>4.3183703916224365</v>
      </c>
      <c r="G68" s="179">
        <f>D68*E68</f>
        <v>0</v>
      </c>
      <c r="H68" s="24"/>
      <c r="M68" s="20" t="b">
        <f t="shared" si="1"/>
        <v>0</v>
      </c>
      <c r="Q68" s="20">
        <f t="shared" si="2"/>
        <v>68</v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>
      <c r="I69" s="297" t="s">
        <v>644</v>
      </c>
    </row>
    <row r="70" spans="1:24">
      <c r="I70" s="297"/>
    </row>
    <row r="71" spans="1:24">
      <c r="I71" s="297"/>
    </row>
  </sheetData>
  <sheetProtection sheet="1" objects="1" scenarios="1"/>
  <autoFilter ref="M1:M71">
    <filterColumn colId="0">
      <filters>
        <filter val="ONWAAR"/>
      </filters>
    </filterColumn>
  </autoFilter>
  <mergeCells count="7">
    <mergeCell ref="L2:L3"/>
    <mergeCell ref="I69:I71"/>
    <mergeCell ref="A1:B1"/>
    <mergeCell ref="F1:H1"/>
    <mergeCell ref="F2:H2"/>
    <mergeCell ref="J2:J3"/>
    <mergeCell ref="K2:K3"/>
  </mergeCells>
  <phoneticPr fontId="26" type="noConversion"/>
  <hyperlinks>
    <hyperlink ref="I69:I71" location="Inhoudsopgave!A1" display="Naar inhouds- opgave"/>
  </hyperlinks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X71"/>
  <sheetViews>
    <sheetView topLeftCell="C1" workbookViewId="0">
      <selection activeCell="P1" sqref="P1:Z1048576"/>
    </sheetView>
  </sheetViews>
  <sheetFormatPr defaultColWidth="8.85546875" defaultRowHeight="15"/>
  <cols>
    <col min="1" max="1" width="9.1406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8" max="8" width="8.85546875" style="22"/>
    <col min="9" max="9" width="10.42578125" style="1" customWidth="1"/>
    <col min="10" max="12" width="14.7109375" style="1" customWidth="1"/>
    <col min="13" max="13" width="11.28515625" customWidth="1"/>
    <col min="16" max="21" width="0" hidden="1" customWidth="1"/>
    <col min="22" max="22" width="0" style="223" hidden="1" customWidth="1"/>
    <col min="23" max="26" width="0" hidden="1" customWidth="1"/>
  </cols>
  <sheetData>
    <row r="1" spans="1:24" ht="43.35" customHeight="1">
      <c r="A1" s="298" t="s">
        <v>645</v>
      </c>
      <c r="B1" s="298"/>
      <c r="C1" s="14"/>
      <c r="D1" s="8"/>
      <c r="E1" s="10"/>
      <c r="F1" s="299"/>
      <c r="G1" s="299"/>
      <c r="H1" s="299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0" t="s">
        <v>67</v>
      </c>
      <c r="G2" s="300"/>
      <c r="H2" s="300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183"/>
      <c r="C3" s="21"/>
      <c r="D3" s="11"/>
      <c r="E3" s="12"/>
      <c r="F3" s="177" t="s">
        <v>19</v>
      </c>
      <c r="G3" s="178" t="s">
        <v>20</v>
      </c>
      <c r="H3" s="182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 ht="15" customHeight="1">
      <c r="A4" s="222" t="s">
        <v>22</v>
      </c>
      <c r="B4" s="13" t="s">
        <v>21</v>
      </c>
      <c r="C4" s="14">
        <f>SUM(C68)</f>
        <v>43.183703916224367</v>
      </c>
      <c r="D4" s="14">
        <f>SUM(D68)</f>
        <v>0</v>
      </c>
      <c r="E4" s="10"/>
      <c r="F4" s="14">
        <f>SUM(F68)</f>
        <v>4.3183703916224365</v>
      </c>
      <c r="G4" s="14">
        <f>SUM(G68)</f>
        <v>0</v>
      </c>
      <c r="H4" s="175">
        <f>SUM(F4,G4)</f>
        <v>4.3183703916224365</v>
      </c>
      <c r="I4" s="5">
        <f>F4/(Kengetallen!C4)</f>
        <v>0.21538006940760282</v>
      </c>
      <c r="J4" s="1">
        <v>12</v>
      </c>
      <c r="K4" s="15">
        <f>ROUNDUP(J4-I4,1)</f>
        <v>11.799999999999999</v>
      </c>
      <c r="L4" s="16">
        <f>D4-G4</f>
        <v>0</v>
      </c>
      <c r="M4" t="b">
        <f>ISBLANK(F4)</f>
        <v>0</v>
      </c>
      <c r="W4" s="216">
        <f>SUM(W5:W68)</f>
        <v>4.3183703916224365</v>
      </c>
      <c r="X4" s="216">
        <f>SUM(X5:X68)</f>
        <v>0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H5" s="24"/>
      <c r="M5" s="20" t="b">
        <f>ISBLANK(F5)</f>
        <v>1</v>
      </c>
      <c r="Q5" s="20" t="str">
        <f>IF(F5&gt;0,ROW(),"")</f>
        <v/>
      </c>
      <c r="R5" t="str">
        <f t="shared" ref="R5:X8" si="0">IFERROR(INDEX(A$1:A$68,SMALL($Q$5:$Q$68,ROW(L1)),1),"")</f>
        <v>P08</v>
      </c>
      <c r="S5" t="str">
        <f t="shared" si="0"/>
        <v>Reparatie volledig kunstgebit, met afdruk</v>
      </c>
      <c r="T5" s="221">
        <f t="shared" si="0"/>
        <v>43.183703916224367</v>
      </c>
      <c r="U5" s="221">
        <f t="shared" si="0"/>
        <v>0</v>
      </c>
      <c r="V5" s="223">
        <f t="shared" si="0"/>
        <v>0.1</v>
      </c>
      <c r="W5" s="221">
        <f t="shared" si="0"/>
        <v>4.3183703916224365</v>
      </c>
      <c r="X5" s="221">
        <f t="shared" si="0"/>
        <v>0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H6" s="24"/>
      <c r="M6" s="20" t="b">
        <f t="shared" ref="M6:M68" si="1">ISBLANK(F6)</f>
        <v>1</v>
      </c>
      <c r="Q6" s="20" t="str">
        <f t="shared" ref="Q6:Q68" si="2">IF(F6&gt;0,ROW(),"")</f>
        <v/>
      </c>
      <c r="R6" t="str">
        <f t="shared" si="0"/>
        <v/>
      </c>
      <c r="S6" t="str">
        <f t="shared" si="0"/>
        <v/>
      </c>
      <c r="T6" s="221" t="str">
        <f t="shared" si="0"/>
        <v/>
      </c>
      <c r="U6" s="221" t="str">
        <f t="shared" si="0"/>
        <v/>
      </c>
      <c r="V6" s="223" t="str">
        <f t="shared" si="0"/>
        <v/>
      </c>
      <c r="W6" s="221" t="str">
        <f t="shared" si="0"/>
        <v/>
      </c>
      <c r="X6" s="221" t="str">
        <f t="shared" si="0"/>
        <v/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H7" s="24"/>
      <c r="M7" s="20" t="b">
        <f t="shared" si="1"/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 hidden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/>
      <c r="G8" s="24"/>
      <c r="H8" s="24"/>
      <c r="M8" s="20" t="b">
        <f t="shared" si="1"/>
        <v>1</v>
      </c>
      <c r="Q8" s="20" t="str">
        <f t="shared" si="2"/>
        <v/>
      </c>
      <c r="R8" t="str">
        <f t="shared" si="0"/>
        <v/>
      </c>
      <c r="S8" t="str">
        <f t="shared" si="0"/>
        <v/>
      </c>
      <c r="T8" s="221" t="str">
        <f t="shared" si="0"/>
        <v/>
      </c>
      <c r="U8" s="221" t="str">
        <f t="shared" si="0"/>
        <v/>
      </c>
      <c r="V8" s="223" t="str">
        <f t="shared" si="0"/>
        <v/>
      </c>
      <c r="W8" s="221" t="str">
        <f t="shared" si="0"/>
        <v/>
      </c>
      <c r="X8" s="221" t="str">
        <f t="shared" si="0"/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H9" s="24"/>
      <c r="M9" s="20" t="b">
        <f t="shared" si="1"/>
        <v>1</v>
      </c>
      <c r="Q9" s="20" t="str">
        <f t="shared" si="2"/>
        <v/>
      </c>
      <c r="R9" t="str">
        <f t="shared" ref="R9:X24" si="3">IFERROR(INDEX(A$1:A$68,SMALL($Q$5:$Q$68,ROW(L5)),1),"")</f>
        <v/>
      </c>
      <c r="S9" t="str">
        <f t="shared" si="3"/>
        <v/>
      </c>
      <c r="T9" s="221" t="str">
        <f t="shared" si="3"/>
        <v/>
      </c>
      <c r="U9" s="221" t="str">
        <f t="shared" si="3"/>
        <v/>
      </c>
      <c r="V9" s="223" t="str">
        <f t="shared" si="3"/>
        <v/>
      </c>
      <c r="W9" s="221" t="str">
        <f t="shared" si="3"/>
        <v/>
      </c>
      <c r="X9" s="221" t="str">
        <f t="shared" si="3"/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H10" s="24"/>
      <c r="M10" s="20" t="b">
        <f t="shared" si="1"/>
        <v>1</v>
      </c>
      <c r="Q10" s="20" t="str">
        <f t="shared" si="2"/>
        <v/>
      </c>
      <c r="R10" t="str">
        <f t="shared" si="3"/>
        <v/>
      </c>
      <c r="S10" t="str">
        <f t="shared" si="3"/>
        <v/>
      </c>
      <c r="T10" s="221" t="str">
        <f t="shared" si="3"/>
        <v/>
      </c>
      <c r="U10" s="221" t="str">
        <f t="shared" si="3"/>
        <v/>
      </c>
      <c r="V10" s="223" t="str">
        <f t="shared" si="3"/>
        <v/>
      </c>
      <c r="W10" s="221" t="str">
        <f t="shared" si="3"/>
        <v/>
      </c>
      <c r="X10" s="221" t="str">
        <f t="shared" si="3"/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H11" s="24"/>
      <c r="M11" s="20" t="b">
        <f t="shared" si="1"/>
        <v>1</v>
      </c>
      <c r="Q11" s="20" t="str">
        <f t="shared" si="2"/>
        <v/>
      </c>
      <c r="R11" t="str">
        <f t="shared" si="3"/>
        <v/>
      </c>
      <c r="S11" t="str">
        <f t="shared" si="3"/>
        <v/>
      </c>
      <c r="T11" s="221" t="str">
        <f t="shared" si="3"/>
        <v/>
      </c>
      <c r="U11" s="221" t="str">
        <f t="shared" si="3"/>
        <v/>
      </c>
      <c r="V11" s="223" t="str">
        <f t="shared" si="3"/>
        <v/>
      </c>
      <c r="W11" s="221" t="str">
        <f t="shared" si="3"/>
        <v/>
      </c>
      <c r="X11" s="221" t="str">
        <f t="shared" si="3"/>
        <v/>
      </c>
    </row>
    <row r="12" spans="1:24" s="20" customFormat="1" ht="45" hidden="1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/>
      <c r="G12" s="24"/>
      <c r="H12" s="24"/>
      <c r="M12" s="20" t="b">
        <f t="shared" si="1"/>
        <v>1</v>
      </c>
      <c r="Q12" s="20" t="str">
        <f t="shared" si="2"/>
        <v/>
      </c>
      <c r="R12" t="str">
        <f t="shared" si="3"/>
        <v/>
      </c>
      <c r="S12" t="str">
        <f t="shared" si="3"/>
        <v/>
      </c>
      <c r="T12" s="221" t="str">
        <f t="shared" si="3"/>
        <v/>
      </c>
      <c r="U12" s="221" t="str">
        <f t="shared" si="3"/>
        <v/>
      </c>
      <c r="V12" s="223" t="str">
        <f t="shared" si="3"/>
        <v/>
      </c>
      <c r="W12" s="221" t="str">
        <f t="shared" si="3"/>
        <v/>
      </c>
      <c r="X12" s="221" t="str">
        <f t="shared" si="3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H13" s="24"/>
      <c r="M13" s="20" t="b">
        <f t="shared" si="1"/>
        <v>1</v>
      </c>
      <c r="Q13" s="20" t="str">
        <f t="shared" si="2"/>
        <v/>
      </c>
      <c r="R13" t="str">
        <f t="shared" si="3"/>
        <v/>
      </c>
      <c r="S13" t="str">
        <f t="shared" si="3"/>
        <v/>
      </c>
      <c r="T13" s="221" t="str">
        <f t="shared" si="3"/>
        <v/>
      </c>
      <c r="U13" s="221" t="str">
        <f t="shared" si="3"/>
        <v/>
      </c>
      <c r="V13" s="223" t="str">
        <f t="shared" si="3"/>
        <v/>
      </c>
      <c r="W13" s="221" t="str">
        <f t="shared" si="3"/>
        <v/>
      </c>
      <c r="X13" s="221" t="str">
        <f t="shared" si="3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H14" s="24"/>
      <c r="M14" s="20" t="b">
        <f t="shared" si="1"/>
        <v>1</v>
      </c>
      <c r="Q14" s="20" t="str">
        <f t="shared" si="2"/>
        <v/>
      </c>
      <c r="R14" t="str">
        <f t="shared" si="3"/>
        <v/>
      </c>
      <c r="S14" t="str">
        <f t="shared" si="3"/>
        <v/>
      </c>
      <c r="T14" s="221" t="str">
        <f t="shared" si="3"/>
        <v/>
      </c>
      <c r="U14" s="221" t="str">
        <f t="shared" si="3"/>
        <v/>
      </c>
      <c r="V14" s="223" t="str">
        <f t="shared" si="3"/>
        <v/>
      </c>
      <c r="W14" s="221" t="str">
        <f t="shared" si="3"/>
        <v/>
      </c>
      <c r="X14" s="221" t="str">
        <f t="shared" si="3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H15" s="24"/>
      <c r="M15" s="20" t="b">
        <f t="shared" si="1"/>
        <v>1</v>
      </c>
      <c r="Q15" s="20" t="str">
        <f t="shared" si="2"/>
        <v/>
      </c>
      <c r="R15" t="str">
        <f t="shared" si="3"/>
        <v/>
      </c>
      <c r="S15" t="str">
        <f t="shared" si="3"/>
        <v/>
      </c>
      <c r="T15" s="221" t="str">
        <f t="shared" si="3"/>
        <v/>
      </c>
      <c r="U15" s="221" t="str">
        <f t="shared" si="3"/>
        <v/>
      </c>
      <c r="V15" s="223" t="str">
        <f t="shared" si="3"/>
        <v/>
      </c>
      <c r="W15" s="221" t="str">
        <f t="shared" si="3"/>
        <v/>
      </c>
      <c r="X15" s="221" t="str">
        <f t="shared" si="3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H16" s="24"/>
      <c r="M16" s="20" t="b">
        <f t="shared" si="1"/>
        <v>1</v>
      </c>
      <c r="Q16" s="20" t="str">
        <f t="shared" si="2"/>
        <v/>
      </c>
      <c r="R16" t="str">
        <f t="shared" si="3"/>
        <v/>
      </c>
      <c r="S16" t="str">
        <f t="shared" si="3"/>
        <v/>
      </c>
      <c r="T16" s="221" t="str">
        <f t="shared" si="3"/>
        <v/>
      </c>
      <c r="U16" s="221" t="str">
        <f t="shared" si="3"/>
        <v/>
      </c>
      <c r="V16" s="223" t="str">
        <f t="shared" si="3"/>
        <v/>
      </c>
      <c r="W16" s="221" t="str">
        <f t="shared" si="3"/>
        <v/>
      </c>
      <c r="X16" s="221" t="str">
        <f t="shared" si="3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H17" s="24"/>
      <c r="M17" s="20" t="b">
        <f t="shared" si="1"/>
        <v>1</v>
      </c>
      <c r="Q17" s="20" t="str">
        <f t="shared" si="2"/>
        <v/>
      </c>
      <c r="R17" t="str">
        <f t="shared" si="3"/>
        <v/>
      </c>
      <c r="S17" t="str">
        <f t="shared" si="3"/>
        <v/>
      </c>
      <c r="T17" s="221" t="str">
        <f t="shared" si="3"/>
        <v/>
      </c>
      <c r="U17" s="221" t="str">
        <f t="shared" si="3"/>
        <v/>
      </c>
      <c r="V17" s="223" t="str">
        <f t="shared" si="3"/>
        <v/>
      </c>
      <c r="W17" s="221" t="str">
        <f t="shared" si="3"/>
        <v/>
      </c>
      <c r="X17" s="221" t="str">
        <f t="shared" si="3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H18" s="24"/>
      <c r="M18" s="20" t="b">
        <f t="shared" si="1"/>
        <v>1</v>
      </c>
      <c r="Q18" s="20" t="str">
        <f t="shared" si="2"/>
        <v/>
      </c>
      <c r="R18" t="str">
        <f t="shared" si="3"/>
        <v/>
      </c>
      <c r="S18" t="str">
        <f t="shared" si="3"/>
        <v/>
      </c>
      <c r="T18" s="221" t="str">
        <f t="shared" si="3"/>
        <v/>
      </c>
      <c r="U18" s="221" t="str">
        <f t="shared" si="3"/>
        <v/>
      </c>
      <c r="V18" s="223" t="str">
        <f t="shared" si="3"/>
        <v/>
      </c>
      <c r="W18" s="221" t="str">
        <f t="shared" si="3"/>
        <v/>
      </c>
      <c r="X18" s="221" t="str">
        <f t="shared" si="3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H19" s="24"/>
      <c r="M19" s="20" t="b">
        <f t="shared" si="1"/>
        <v>1</v>
      </c>
      <c r="Q19" s="20" t="str">
        <f t="shared" si="2"/>
        <v/>
      </c>
      <c r="R19" t="str">
        <f t="shared" si="3"/>
        <v/>
      </c>
      <c r="S19" t="str">
        <f t="shared" si="3"/>
        <v/>
      </c>
      <c r="T19" s="221" t="str">
        <f t="shared" si="3"/>
        <v/>
      </c>
      <c r="U19" s="221" t="str">
        <f t="shared" si="3"/>
        <v/>
      </c>
      <c r="V19" s="223" t="str">
        <f t="shared" si="3"/>
        <v/>
      </c>
      <c r="W19" s="221" t="str">
        <f t="shared" si="3"/>
        <v/>
      </c>
      <c r="X19" s="221" t="str">
        <f t="shared" si="3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H20" s="24"/>
      <c r="M20" s="20" t="b">
        <f t="shared" si="1"/>
        <v>1</v>
      </c>
      <c r="Q20" s="20" t="str">
        <f t="shared" si="2"/>
        <v/>
      </c>
      <c r="R20" t="str">
        <f t="shared" si="3"/>
        <v/>
      </c>
      <c r="S20" t="str">
        <f t="shared" si="3"/>
        <v/>
      </c>
      <c r="T20" s="221" t="str">
        <f t="shared" si="3"/>
        <v/>
      </c>
      <c r="U20" s="221" t="str">
        <f t="shared" si="3"/>
        <v/>
      </c>
      <c r="V20" s="223" t="str">
        <f t="shared" si="3"/>
        <v/>
      </c>
      <c r="W20" s="221" t="str">
        <f t="shared" si="3"/>
        <v/>
      </c>
      <c r="X20" s="221" t="str">
        <f t="shared" si="3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H21" s="24"/>
      <c r="M21" s="20" t="b">
        <f t="shared" si="1"/>
        <v>1</v>
      </c>
      <c r="Q21" s="20" t="str">
        <f t="shared" si="2"/>
        <v/>
      </c>
      <c r="R21" t="str">
        <f t="shared" si="3"/>
        <v/>
      </c>
      <c r="S21" t="str">
        <f t="shared" si="3"/>
        <v/>
      </c>
      <c r="T21" s="221" t="str">
        <f t="shared" si="3"/>
        <v/>
      </c>
      <c r="U21" s="221" t="str">
        <f t="shared" si="3"/>
        <v/>
      </c>
      <c r="V21" s="223" t="str">
        <f t="shared" si="3"/>
        <v/>
      </c>
      <c r="W21" s="221" t="str">
        <f t="shared" si="3"/>
        <v/>
      </c>
      <c r="X21" s="221" t="str">
        <f t="shared" si="3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H22" s="24"/>
      <c r="M22" s="20" t="b">
        <f t="shared" si="1"/>
        <v>1</v>
      </c>
      <c r="Q22" s="20" t="str">
        <f t="shared" si="2"/>
        <v/>
      </c>
      <c r="R22" t="str">
        <f t="shared" si="3"/>
        <v/>
      </c>
      <c r="S22" t="str">
        <f t="shared" si="3"/>
        <v/>
      </c>
      <c r="T22" s="221" t="str">
        <f t="shared" si="3"/>
        <v/>
      </c>
      <c r="U22" s="221" t="str">
        <f t="shared" si="3"/>
        <v/>
      </c>
      <c r="V22" s="223" t="str">
        <f t="shared" si="3"/>
        <v/>
      </c>
      <c r="W22" s="221" t="str">
        <f t="shared" si="3"/>
        <v/>
      </c>
      <c r="X22" s="221" t="str">
        <f t="shared" si="3"/>
        <v/>
      </c>
    </row>
    <row r="23" spans="1:24" s="20" customFormat="1" hidden="1">
      <c r="B23" s="2"/>
      <c r="C23" s="24"/>
      <c r="D23" s="174"/>
      <c r="E23" s="23"/>
      <c r="F23" s="179"/>
      <c r="G23" s="24"/>
      <c r="H23" s="24"/>
      <c r="M23" s="20" t="b">
        <f t="shared" si="1"/>
        <v>1</v>
      </c>
      <c r="Q23" s="20" t="str">
        <f t="shared" si="2"/>
        <v/>
      </c>
      <c r="R23" t="str">
        <f t="shared" si="3"/>
        <v/>
      </c>
      <c r="S23" t="str">
        <f t="shared" si="3"/>
        <v/>
      </c>
      <c r="T23" s="221" t="str">
        <f t="shared" si="3"/>
        <v/>
      </c>
      <c r="U23" s="221" t="str">
        <f t="shared" si="3"/>
        <v/>
      </c>
      <c r="V23" s="223" t="str">
        <f t="shared" si="3"/>
        <v/>
      </c>
      <c r="W23" s="221" t="str">
        <f t="shared" si="3"/>
        <v/>
      </c>
      <c r="X23" s="221" t="str">
        <f t="shared" si="3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H24" s="24"/>
      <c r="M24" s="20" t="b">
        <f t="shared" si="1"/>
        <v>1</v>
      </c>
      <c r="Q24" s="20" t="str">
        <f t="shared" si="2"/>
        <v/>
      </c>
      <c r="R24" t="str">
        <f t="shared" si="3"/>
        <v/>
      </c>
      <c r="S24" t="str">
        <f t="shared" si="3"/>
        <v/>
      </c>
      <c r="T24" s="221" t="str">
        <f t="shared" si="3"/>
        <v/>
      </c>
      <c r="U24" s="221" t="str">
        <f t="shared" si="3"/>
        <v/>
      </c>
      <c r="V24" s="223" t="str">
        <f t="shared" si="3"/>
        <v/>
      </c>
      <c r="W24" s="221" t="str">
        <f t="shared" si="3"/>
        <v/>
      </c>
      <c r="X24" s="221" t="str">
        <f t="shared" si="3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H25" s="24"/>
      <c r="M25" s="20" t="b">
        <f t="shared" si="1"/>
        <v>1</v>
      </c>
      <c r="Q25" s="20" t="str">
        <f t="shared" si="2"/>
        <v/>
      </c>
      <c r="R25" t="str">
        <f t="shared" ref="R25:X40" si="4">IFERROR(INDEX(A$1:A$68,SMALL($Q$5:$Q$68,ROW(L21)),1),"")</f>
        <v/>
      </c>
      <c r="S25" t="str">
        <f t="shared" si="4"/>
        <v/>
      </c>
      <c r="T25" s="221" t="str">
        <f t="shared" si="4"/>
        <v/>
      </c>
      <c r="U25" s="221" t="str">
        <f t="shared" si="4"/>
        <v/>
      </c>
      <c r="V25" s="223" t="str">
        <f t="shared" si="4"/>
        <v/>
      </c>
      <c r="W25" s="221" t="str">
        <f t="shared" si="4"/>
        <v/>
      </c>
      <c r="X25" s="221" t="str">
        <f t="shared" si="4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H26" s="24"/>
      <c r="M26" s="20" t="b">
        <f t="shared" si="1"/>
        <v>1</v>
      </c>
      <c r="Q26" s="20" t="str">
        <f t="shared" si="2"/>
        <v/>
      </c>
      <c r="R26" t="str">
        <f t="shared" si="4"/>
        <v/>
      </c>
      <c r="S26" t="str">
        <f t="shared" si="4"/>
        <v/>
      </c>
      <c r="T26" s="221" t="str">
        <f t="shared" si="4"/>
        <v/>
      </c>
      <c r="U26" s="221" t="str">
        <f t="shared" si="4"/>
        <v/>
      </c>
      <c r="V26" s="223" t="str">
        <f t="shared" si="4"/>
        <v/>
      </c>
      <c r="W26" s="221" t="str">
        <f t="shared" si="4"/>
        <v/>
      </c>
      <c r="X26" s="221" t="str">
        <f t="shared" si="4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H27" s="24"/>
      <c r="M27" s="20" t="b">
        <f t="shared" si="1"/>
        <v>1</v>
      </c>
      <c r="Q27" s="20" t="str">
        <f t="shared" si="2"/>
        <v/>
      </c>
      <c r="R27" t="str">
        <f t="shared" si="4"/>
        <v/>
      </c>
      <c r="S27" t="str">
        <f t="shared" si="4"/>
        <v/>
      </c>
      <c r="T27" s="221" t="str">
        <f t="shared" si="4"/>
        <v/>
      </c>
      <c r="U27" s="221" t="str">
        <f t="shared" si="4"/>
        <v/>
      </c>
      <c r="V27" s="223" t="str">
        <f t="shared" si="4"/>
        <v/>
      </c>
      <c r="W27" s="221" t="str">
        <f t="shared" si="4"/>
        <v/>
      </c>
      <c r="X27" s="221" t="str">
        <f t="shared" si="4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H28" s="24"/>
      <c r="M28" s="20" t="b">
        <f t="shared" si="1"/>
        <v>1</v>
      </c>
      <c r="Q28" s="20" t="str">
        <f t="shared" si="2"/>
        <v/>
      </c>
      <c r="R28" t="str">
        <f t="shared" si="4"/>
        <v/>
      </c>
      <c r="S28" t="str">
        <f t="shared" si="4"/>
        <v/>
      </c>
      <c r="T28" s="221" t="str">
        <f t="shared" si="4"/>
        <v/>
      </c>
      <c r="U28" s="221" t="str">
        <f t="shared" si="4"/>
        <v/>
      </c>
      <c r="V28" s="223" t="str">
        <f t="shared" si="4"/>
        <v/>
      </c>
      <c r="W28" s="221" t="str">
        <f t="shared" si="4"/>
        <v/>
      </c>
      <c r="X28" s="221" t="str">
        <f t="shared" si="4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H29" s="24"/>
      <c r="M29" s="20" t="b">
        <f t="shared" si="1"/>
        <v>1</v>
      </c>
      <c r="Q29" s="20" t="str">
        <f t="shared" si="2"/>
        <v/>
      </c>
      <c r="R29" t="str">
        <f t="shared" si="4"/>
        <v/>
      </c>
      <c r="S29" t="str">
        <f t="shared" si="4"/>
        <v/>
      </c>
      <c r="T29" s="221" t="str">
        <f t="shared" si="4"/>
        <v/>
      </c>
      <c r="U29" s="221" t="str">
        <f t="shared" si="4"/>
        <v/>
      </c>
      <c r="V29" s="223" t="str">
        <f t="shared" si="4"/>
        <v/>
      </c>
      <c r="W29" s="221" t="str">
        <f t="shared" si="4"/>
        <v/>
      </c>
      <c r="X29" s="221" t="str">
        <f t="shared" si="4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H30" s="24"/>
      <c r="M30" s="20" t="b">
        <f t="shared" si="1"/>
        <v>1</v>
      </c>
      <c r="Q30" s="20" t="str">
        <f t="shared" si="2"/>
        <v/>
      </c>
      <c r="R30" t="str">
        <f t="shared" si="4"/>
        <v/>
      </c>
      <c r="S30" t="str">
        <f t="shared" si="4"/>
        <v/>
      </c>
      <c r="T30" s="221" t="str">
        <f t="shared" si="4"/>
        <v/>
      </c>
      <c r="U30" s="221" t="str">
        <f t="shared" si="4"/>
        <v/>
      </c>
      <c r="V30" s="223" t="str">
        <f t="shared" si="4"/>
        <v/>
      </c>
      <c r="W30" s="221" t="str">
        <f t="shared" si="4"/>
        <v/>
      </c>
      <c r="X30" s="221" t="str">
        <f t="shared" si="4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H31" s="24"/>
      <c r="M31" s="20" t="b">
        <f t="shared" si="1"/>
        <v>1</v>
      </c>
      <c r="Q31" s="20" t="str">
        <f t="shared" si="2"/>
        <v/>
      </c>
      <c r="R31" t="str">
        <f t="shared" si="4"/>
        <v/>
      </c>
      <c r="S31" t="str">
        <f t="shared" si="4"/>
        <v/>
      </c>
      <c r="T31" s="221" t="str">
        <f t="shared" si="4"/>
        <v/>
      </c>
      <c r="U31" s="221" t="str">
        <f t="shared" si="4"/>
        <v/>
      </c>
      <c r="V31" s="223" t="str">
        <f t="shared" si="4"/>
        <v/>
      </c>
      <c r="W31" s="221" t="str">
        <f t="shared" si="4"/>
        <v/>
      </c>
      <c r="X31" s="221" t="str">
        <f t="shared" si="4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H32" s="24"/>
      <c r="M32" s="20" t="b">
        <f t="shared" si="1"/>
        <v>1</v>
      </c>
      <c r="Q32" s="20" t="str">
        <f t="shared" si="2"/>
        <v/>
      </c>
      <c r="R32" t="str">
        <f t="shared" si="4"/>
        <v/>
      </c>
      <c r="S32" t="str">
        <f t="shared" si="4"/>
        <v/>
      </c>
      <c r="T32" s="221" t="str">
        <f t="shared" si="4"/>
        <v/>
      </c>
      <c r="U32" s="221" t="str">
        <f t="shared" si="4"/>
        <v/>
      </c>
      <c r="V32" s="223" t="str">
        <f t="shared" si="4"/>
        <v/>
      </c>
      <c r="W32" s="221" t="str">
        <f t="shared" si="4"/>
        <v/>
      </c>
      <c r="X32" s="221" t="str">
        <f t="shared" si="4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H33" s="24"/>
      <c r="M33" s="20" t="b">
        <f t="shared" si="1"/>
        <v>1</v>
      </c>
      <c r="Q33" s="20" t="str">
        <f t="shared" si="2"/>
        <v/>
      </c>
      <c r="R33" t="str">
        <f t="shared" si="4"/>
        <v/>
      </c>
      <c r="S33" t="str">
        <f t="shared" si="4"/>
        <v/>
      </c>
      <c r="T33" s="221" t="str">
        <f t="shared" si="4"/>
        <v/>
      </c>
      <c r="U33" s="221" t="str">
        <f t="shared" si="4"/>
        <v/>
      </c>
      <c r="V33" s="223" t="str">
        <f t="shared" si="4"/>
        <v/>
      </c>
      <c r="W33" s="221" t="str">
        <f t="shared" si="4"/>
        <v/>
      </c>
      <c r="X33" s="221" t="str">
        <f t="shared" si="4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H34" s="24"/>
      <c r="M34" s="20" t="b">
        <f t="shared" si="1"/>
        <v>1</v>
      </c>
      <c r="Q34" s="20" t="str">
        <f t="shared" si="2"/>
        <v/>
      </c>
      <c r="R34" t="str">
        <f t="shared" si="4"/>
        <v/>
      </c>
      <c r="S34" t="str">
        <f t="shared" si="4"/>
        <v/>
      </c>
      <c r="T34" s="221" t="str">
        <f t="shared" si="4"/>
        <v/>
      </c>
      <c r="U34" s="221" t="str">
        <f t="shared" si="4"/>
        <v/>
      </c>
      <c r="V34" s="223" t="str">
        <f t="shared" si="4"/>
        <v/>
      </c>
      <c r="W34" s="221" t="str">
        <f t="shared" si="4"/>
        <v/>
      </c>
      <c r="X34" s="221" t="str">
        <f t="shared" si="4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H35" s="24"/>
      <c r="M35" s="20" t="b">
        <f t="shared" si="1"/>
        <v>1</v>
      </c>
      <c r="Q35" s="20" t="str">
        <f t="shared" si="2"/>
        <v/>
      </c>
      <c r="R35" t="str">
        <f t="shared" si="4"/>
        <v/>
      </c>
      <c r="S35" t="str">
        <f t="shared" si="4"/>
        <v/>
      </c>
      <c r="T35" s="221" t="str">
        <f t="shared" si="4"/>
        <v/>
      </c>
      <c r="U35" s="221" t="str">
        <f t="shared" si="4"/>
        <v/>
      </c>
      <c r="V35" s="223" t="str">
        <f t="shared" si="4"/>
        <v/>
      </c>
      <c r="W35" s="221" t="str">
        <f t="shared" si="4"/>
        <v/>
      </c>
      <c r="X35" s="221" t="str">
        <f t="shared" si="4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H36" s="24"/>
      <c r="M36" s="20" t="b">
        <f t="shared" si="1"/>
        <v>1</v>
      </c>
      <c r="Q36" s="20" t="str">
        <f t="shared" si="2"/>
        <v/>
      </c>
      <c r="R36" t="str">
        <f t="shared" si="4"/>
        <v/>
      </c>
      <c r="S36" t="str">
        <f t="shared" si="4"/>
        <v/>
      </c>
      <c r="T36" s="221" t="str">
        <f t="shared" si="4"/>
        <v/>
      </c>
      <c r="U36" s="221" t="str">
        <f t="shared" si="4"/>
        <v/>
      </c>
      <c r="V36" s="223" t="str">
        <f t="shared" si="4"/>
        <v/>
      </c>
      <c r="W36" s="221" t="str">
        <f t="shared" si="4"/>
        <v/>
      </c>
      <c r="X36" s="221" t="str">
        <f t="shared" si="4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H37" s="24"/>
      <c r="M37" s="20" t="b">
        <f t="shared" si="1"/>
        <v>1</v>
      </c>
      <c r="Q37" s="20" t="str">
        <f t="shared" si="2"/>
        <v/>
      </c>
      <c r="R37" t="str">
        <f t="shared" si="4"/>
        <v/>
      </c>
      <c r="S37" t="str">
        <f t="shared" si="4"/>
        <v/>
      </c>
      <c r="T37" s="221" t="str">
        <f t="shared" si="4"/>
        <v/>
      </c>
      <c r="U37" s="221" t="str">
        <f t="shared" si="4"/>
        <v/>
      </c>
      <c r="V37" s="223" t="str">
        <f t="shared" si="4"/>
        <v/>
      </c>
      <c r="W37" s="221" t="str">
        <f t="shared" si="4"/>
        <v/>
      </c>
      <c r="X37" s="221" t="str">
        <f t="shared" si="4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H38" s="24"/>
      <c r="M38" s="20" t="b">
        <f t="shared" si="1"/>
        <v>1</v>
      </c>
      <c r="Q38" s="20" t="str">
        <f t="shared" si="2"/>
        <v/>
      </c>
      <c r="R38" t="str">
        <f t="shared" si="4"/>
        <v/>
      </c>
      <c r="S38" t="str">
        <f t="shared" si="4"/>
        <v/>
      </c>
      <c r="T38" s="221" t="str">
        <f t="shared" si="4"/>
        <v/>
      </c>
      <c r="U38" s="221" t="str">
        <f t="shared" si="4"/>
        <v/>
      </c>
      <c r="V38" s="223" t="str">
        <f t="shared" si="4"/>
        <v/>
      </c>
      <c r="W38" s="221" t="str">
        <f t="shared" si="4"/>
        <v/>
      </c>
      <c r="X38" s="221" t="str">
        <f t="shared" si="4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H39" s="24"/>
      <c r="M39" s="20" t="b">
        <f t="shared" si="1"/>
        <v>1</v>
      </c>
      <c r="Q39" s="20" t="str">
        <f t="shared" si="2"/>
        <v/>
      </c>
      <c r="R39" t="str">
        <f t="shared" si="4"/>
        <v/>
      </c>
      <c r="S39" t="str">
        <f t="shared" si="4"/>
        <v/>
      </c>
      <c r="T39" s="221" t="str">
        <f t="shared" si="4"/>
        <v/>
      </c>
      <c r="U39" s="221" t="str">
        <f t="shared" si="4"/>
        <v/>
      </c>
      <c r="V39" s="223" t="str">
        <f t="shared" si="4"/>
        <v/>
      </c>
      <c r="W39" s="221" t="str">
        <f t="shared" si="4"/>
        <v/>
      </c>
      <c r="X39" s="221" t="str">
        <f t="shared" si="4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H40" s="24"/>
      <c r="M40" s="20" t="b">
        <f t="shared" si="1"/>
        <v>1</v>
      </c>
      <c r="Q40" s="20" t="str">
        <f t="shared" si="2"/>
        <v/>
      </c>
      <c r="R40" t="str">
        <f t="shared" si="4"/>
        <v/>
      </c>
      <c r="S40" t="str">
        <f t="shared" si="4"/>
        <v/>
      </c>
      <c r="T40" s="221" t="str">
        <f t="shared" si="4"/>
        <v/>
      </c>
      <c r="U40" s="221" t="str">
        <f t="shared" si="4"/>
        <v/>
      </c>
      <c r="V40" s="223" t="str">
        <f t="shared" si="4"/>
        <v/>
      </c>
      <c r="W40" s="221" t="str">
        <f t="shared" si="4"/>
        <v/>
      </c>
      <c r="X40" s="221" t="str">
        <f t="shared" si="4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H41" s="24"/>
      <c r="M41" s="20" t="b">
        <f t="shared" si="1"/>
        <v>1</v>
      </c>
      <c r="Q41" s="20" t="str">
        <f t="shared" si="2"/>
        <v/>
      </c>
      <c r="R41" t="str">
        <f t="shared" ref="R41:X56" si="5">IFERROR(INDEX(A$1:A$68,SMALL($Q$5:$Q$68,ROW(L37)),1),"")</f>
        <v/>
      </c>
      <c r="S41" t="str">
        <f t="shared" si="5"/>
        <v/>
      </c>
      <c r="T41" s="221" t="str">
        <f t="shared" si="5"/>
        <v/>
      </c>
      <c r="U41" s="221" t="str">
        <f t="shared" si="5"/>
        <v/>
      </c>
      <c r="V41" s="223" t="str">
        <f t="shared" si="5"/>
        <v/>
      </c>
      <c r="W41" s="221" t="str">
        <f t="shared" si="5"/>
        <v/>
      </c>
      <c r="X41" s="221" t="str">
        <f t="shared" si="5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H42" s="24"/>
      <c r="M42" s="20" t="b">
        <f t="shared" si="1"/>
        <v>1</v>
      </c>
      <c r="Q42" s="20" t="str">
        <f t="shared" si="2"/>
        <v/>
      </c>
      <c r="R42" t="str">
        <f t="shared" si="5"/>
        <v/>
      </c>
      <c r="S42" t="str">
        <f t="shared" si="5"/>
        <v/>
      </c>
      <c r="T42" s="221" t="str">
        <f t="shared" si="5"/>
        <v/>
      </c>
      <c r="U42" s="221" t="str">
        <f t="shared" si="5"/>
        <v/>
      </c>
      <c r="V42" s="223" t="str">
        <f t="shared" si="5"/>
        <v/>
      </c>
      <c r="W42" s="221" t="str">
        <f t="shared" si="5"/>
        <v/>
      </c>
      <c r="X42" s="221" t="str">
        <f t="shared" si="5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H43" s="24"/>
      <c r="M43" s="20" t="b">
        <f t="shared" si="1"/>
        <v>1</v>
      </c>
      <c r="Q43" s="20" t="str">
        <f t="shared" si="2"/>
        <v/>
      </c>
      <c r="R43" t="str">
        <f t="shared" si="5"/>
        <v/>
      </c>
      <c r="S43" t="str">
        <f t="shared" si="5"/>
        <v/>
      </c>
      <c r="T43" s="221" t="str">
        <f t="shared" si="5"/>
        <v/>
      </c>
      <c r="U43" s="221" t="str">
        <f t="shared" si="5"/>
        <v/>
      </c>
      <c r="V43" s="223" t="str">
        <f t="shared" si="5"/>
        <v/>
      </c>
      <c r="W43" s="221" t="str">
        <f t="shared" si="5"/>
        <v/>
      </c>
      <c r="X43" s="221" t="str">
        <f t="shared" si="5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H44" s="24"/>
      <c r="M44" s="20" t="b">
        <f t="shared" si="1"/>
        <v>1</v>
      </c>
      <c r="Q44" s="20" t="str">
        <f t="shared" si="2"/>
        <v/>
      </c>
      <c r="R44" t="str">
        <f t="shared" si="5"/>
        <v/>
      </c>
      <c r="S44" t="str">
        <f t="shared" si="5"/>
        <v/>
      </c>
      <c r="T44" s="221" t="str">
        <f t="shared" si="5"/>
        <v/>
      </c>
      <c r="U44" s="221" t="str">
        <f t="shared" si="5"/>
        <v/>
      </c>
      <c r="V44" s="223" t="str">
        <f t="shared" si="5"/>
        <v/>
      </c>
      <c r="W44" s="221" t="str">
        <f t="shared" si="5"/>
        <v/>
      </c>
      <c r="X44" s="221" t="str">
        <f t="shared" si="5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H45" s="24"/>
      <c r="M45" s="20" t="b">
        <f t="shared" si="1"/>
        <v>1</v>
      </c>
      <c r="Q45" s="20" t="str">
        <f t="shared" si="2"/>
        <v/>
      </c>
      <c r="R45" t="str">
        <f t="shared" si="5"/>
        <v/>
      </c>
      <c r="S45" t="str">
        <f t="shared" si="5"/>
        <v/>
      </c>
      <c r="T45" s="221" t="str">
        <f t="shared" si="5"/>
        <v/>
      </c>
      <c r="U45" s="221" t="str">
        <f t="shared" si="5"/>
        <v/>
      </c>
      <c r="V45" s="223" t="str">
        <f t="shared" si="5"/>
        <v/>
      </c>
      <c r="W45" s="221" t="str">
        <f t="shared" si="5"/>
        <v/>
      </c>
      <c r="X45" s="221" t="str">
        <f t="shared" si="5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H46" s="24"/>
      <c r="M46" s="20" t="b">
        <f t="shared" si="1"/>
        <v>1</v>
      </c>
      <c r="Q46" s="20" t="str">
        <f t="shared" si="2"/>
        <v/>
      </c>
      <c r="R46" t="str">
        <f t="shared" si="5"/>
        <v/>
      </c>
      <c r="S46" t="str">
        <f t="shared" si="5"/>
        <v/>
      </c>
      <c r="T46" s="221" t="str">
        <f t="shared" si="5"/>
        <v/>
      </c>
      <c r="U46" s="221" t="str">
        <f t="shared" si="5"/>
        <v/>
      </c>
      <c r="V46" s="223" t="str">
        <f t="shared" si="5"/>
        <v/>
      </c>
      <c r="W46" s="221" t="str">
        <f t="shared" si="5"/>
        <v/>
      </c>
      <c r="X46" s="221" t="str">
        <f t="shared" si="5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H47" s="24"/>
      <c r="M47" s="20" t="b">
        <f t="shared" si="1"/>
        <v>1</v>
      </c>
      <c r="Q47" s="20" t="str">
        <f t="shared" si="2"/>
        <v/>
      </c>
      <c r="R47" t="str">
        <f t="shared" si="5"/>
        <v/>
      </c>
      <c r="S47" t="str">
        <f t="shared" si="5"/>
        <v/>
      </c>
      <c r="T47" s="221" t="str">
        <f t="shared" si="5"/>
        <v/>
      </c>
      <c r="U47" s="221" t="str">
        <f t="shared" si="5"/>
        <v/>
      </c>
      <c r="V47" s="223" t="str">
        <f t="shared" si="5"/>
        <v/>
      </c>
      <c r="W47" s="221" t="str">
        <f t="shared" si="5"/>
        <v/>
      </c>
      <c r="X47" s="221" t="str">
        <f t="shared" si="5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H48" s="24"/>
      <c r="M48" s="20" t="b">
        <f t="shared" si="1"/>
        <v>1</v>
      </c>
      <c r="Q48" s="20" t="str">
        <f t="shared" si="2"/>
        <v/>
      </c>
      <c r="R48" t="str">
        <f t="shared" si="5"/>
        <v/>
      </c>
      <c r="S48" t="str">
        <f t="shared" si="5"/>
        <v/>
      </c>
      <c r="T48" s="221" t="str">
        <f t="shared" si="5"/>
        <v/>
      </c>
      <c r="U48" s="221" t="str">
        <f t="shared" si="5"/>
        <v/>
      </c>
      <c r="V48" s="223" t="str">
        <f t="shared" si="5"/>
        <v/>
      </c>
      <c r="W48" s="221" t="str">
        <f t="shared" si="5"/>
        <v/>
      </c>
      <c r="X48" s="221" t="str">
        <f t="shared" si="5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H49" s="24"/>
      <c r="M49" s="20" t="b">
        <f t="shared" si="1"/>
        <v>1</v>
      </c>
      <c r="Q49" s="20" t="str">
        <f t="shared" si="2"/>
        <v/>
      </c>
      <c r="R49" t="str">
        <f t="shared" si="5"/>
        <v/>
      </c>
      <c r="S49" t="str">
        <f t="shared" si="5"/>
        <v/>
      </c>
      <c r="T49" s="221" t="str">
        <f t="shared" si="5"/>
        <v/>
      </c>
      <c r="U49" s="221" t="str">
        <f t="shared" si="5"/>
        <v/>
      </c>
      <c r="V49" s="223" t="str">
        <f t="shared" si="5"/>
        <v/>
      </c>
      <c r="W49" s="221" t="str">
        <f t="shared" si="5"/>
        <v/>
      </c>
      <c r="X49" s="221" t="str">
        <f t="shared" si="5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H50" s="24"/>
      <c r="M50" s="20" t="b">
        <f t="shared" si="1"/>
        <v>1</v>
      </c>
      <c r="Q50" s="20" t="str">
        <f t="shared" si="2"/>
        <v/>
      </c>
      <c r="R50" t="str">
        <f t="shared" si="5"/>
        <v/>
      </c>
      <c r="S50" t="str">
        <f t="shared" si="5"/>
        <v/>
      </c>
      <c r="T50" s="221" t="str">
        <f t="shared" si="5"/>
        <v/>
      </c>
      <c r="U50" s="221" t="str">
        <f t="shared" si="5"/>
        <v/>
      </c>
      <c r="V50" s="223" t="str">
        <f t="shared" si="5"/>
        <v/>
      </c>
      <c r="W50" s="221" t="str">
        <f t="shared" si="5"/>
        <v/>
      </c>
      <c r="X50" s="221" t="str">
        <f t="shared" si="5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H51" s="24"/>
      <c r="M51" s="20" t="b">
        <f t="shared" si="1"/>
        <v>1</v>
      </c>
      <c r="Q51" s="20" t="str">
        <f t="shared" si="2"/>
        <v/>
      </c>
      <c r="R51" t="str">
        <f t="shared" si="5"/>
        <v/>
      </c>
      <c r="S51" t="str">
        <f t="shared" si="5"/>
        <v/>
      </c>
      <c r="T51" s="221" t="str">
        <f t="shared" si="5"/>
        <v/>
      </c>
      <c r="U51" s="221" t="str">
        <f t="shared" si="5"/>
        <v/>
      </c>
      <c r="V51" s="223" t="str">
        <f t="shared" si="5"/>
        <v/>
      </c>
      <c r="W51" s="221" t="str">
        <f t="shared" si="5"/>
        <v/>
      </c>
      <c r="X51" s="221" t="str">
        <f t="shared" si="5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H52" s="24"/>
      <c r="M52" s="20" t="b">
        <f t="shared" si="1"/>
        <v>1</v>
      </c>
      <c r="Q52" s="20" t="str">
        <f t="shared" si="2"/>
        <v/>
      </c>
      <c r="R52" t="str">
        <f t="shared" si="5"/>
        <v/>
      </c>
      <c r="S52" t="str">
        <f t="shared" si="5"/>
        <v/>
      </c>
      <c r="T52" s="221" t="str">
        <f t="shared" si="5"/>
        <v/>
      </c>
      <c r="U52" s="221" t="str">
        <f t="shared" si="5"/>
        <v/>
      </c>
      <c r="V52" s="223" t="str">
        <f t="shared" si="5"/>
        <v/>
      </c>
      <c r="W52" s="221" t="str">
        <f t="shared" si="5"/>
        <v/>
      </c>
      <c r="X52" s="221" t="str">
        <f t="shared" si="5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179"/>
      <c r="H53" s="24"/>
      <c r="M53" s="20" t="b">
        <f t="shared" si="1"/>
        <v>1</v>
      </c>
      <c r="Q53" s="20" t="str">
        <f t="shared" si="2"/>
        <v/>
      </c>
      <c r="R53" t="str">
        <f t="shared" si="5"/>
        <v/>
      </c>
      <c r="S53" t="str">
        <f t="shared" si="5"/>
        <v/>
      </c>
      <c r="T53" s="221" t="str">
        <f t="shared" si="5"/>
        <v/>
      </c>
      <c r="U53" s="221" t="str">
        <f t="shared" si="5"/>
        <v/>
      </c>
      <c r="V53" s="223" t="str">
        <f t="shared" si="5"/>
        <v/>
      </c>
      <c r="W53" s="221" t="str">
        <f t="shared" si="5"/>
        <v/>
      </c>
      <c r="X53" s="221" t="str">
        <f t="shared" si="5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179"/>
      <c r="H54" s="24"/>
      <c r="M54" s="20" t="b">
        <f t="shared" si="1"/>
        <v>1</v>
      </c>
      <c r="Q54" s="20" t="str">
        <f t="shared" si="2"/>
        <v/>
      </c>
      <c r="R54" t="str">
        <f t="shared" si="5"/>
        <v/>
      </c>
      <c r="S54" t="str">
        <f t="shared" si="5"/>
        <v/>
      </c>
      <c r="T54" s="221" t="str">
        <f t="shared" si="5"/>
        <v/>
      </c>
      <c r="U54" s="221" t="str">
        <f t="shared" si="5"/>
        <v/>
      </c>
      <c r="V54" s="223" t="str">
        <f t="shared" si="5"/>
        <v/>
      </c>
      <c r="W54" s="221" t="str">
        <f t="shared" si="5"/>
        <v/>
      </c>
      <c r="X54" s="221" t="str">
        <f t="shared" si="5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179"/>
      <c r="H55" s="24"/>
      <c r="M55" s="20" t="b">
        <f t="shared" si="1"/>
        <v>1</v>
      </c>
      <c r="Q55" s="20" t="str">
        <f t="shared" si="2"/>
        <v/>
      </c>
      <c r="R55" t="str">
        <f t="shared" si="5"/>
        <v/>
      </c>
      <c r="S55" t="str">
        <f t="shared" si="5"/>
        <v/>
      </c>
      <c r="T55" s="221" t="str">
        <f t="shared" si="5"/>
        <v/>
      </c>
      <c r="U55" s="221" t="str">
        <f t="shared" si="5"/>
        <v/>
      </c>
      <c r="V55" s="223" t="str">
        <f t="shared" si="5"/>
        <v/>
      </c>
      <c r="W55" s="221" t="str">
        <f t="shared" si="5"/>
        <v/>
      </c>
      <c r="X55" s="221" t="str">
        <f t="shared" si="5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H56" s="24"/>
      <c r="M56" s="20" t="b">
        <f t="shared" si="1"/>
        <v>1</v>
      </c>
      <c r="Q56" s="20" t="str">
        <f t="shared" si="2"/>
        <v/>
      </c>
      <c r="R56" t="str">
        <f t="shared" si="5"/>
        <v/>
      </c>
      <c r="S56" t="str">
        <f t="shared" si="5"/>
        <v/>
      </c>
      <c r="T56" s="221" t="str">
        <f t="shared" si="5"/>
        <v/>
      </c>
      <c r="U56" s="221" t="str">
        <f t="shared" si="5"/>
        <v/>
      </c>
      <c r="V56" s="223" t="str">
        <f t="shared" si="5"/>
        <v/>
      </c>
      <c r="W56" s="221" t="str">
        <f t="shared" si="5"/>
        <v/>
      </c>
      <c r="X56" s="221" t="str">
        <f t="shared" si="5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H57" s="24"/>
      <c r="M57" s="20" t="b">
        <f t="shared" si="1"/>
        <v>1</v>
      </c>
      <c r="Q57" s="20" t="str">
        <f t="shared" si="2"/>
        <v/>
      </c>
      <c r="R57" t="str">
        <f t="shared" ref="R57:X68" si="6">IFERROR(INDEX(A$1:A$68,SMALL($Q$5:$Q$68,ROW(L53)),1),"")</f>
        <v/>
      </c>
      <c r="S57" t="str">
        <f t="shared" si="6"/>
        <v/>
      </c>
      <c r="T57" s="221" t="str">
        <f t="shared" si="6"/>
        <v/>
      </c>
      <c r="U57" s="221" t="str">
        <f t="shared" si="6"/>
        <v/>
      </c>
      <c r="V57" s="223" t="str">
        <f t="shared" si="6"/>
        <v/>
      </c>
      <c r="W57" s="221" t="str">
        <f t="shared" si="6"/>
        <v/>
      </c>
      <c r="X57" s="221" t="str">
        <f t="shared" si="6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179"/>
      <c r="H58" s="24"/>
      <c r="M58" s="20" t="b">
        <f t="shared" si="1"/>
        <v>1</v>
      </c>
      <c r="Q58" s="20" t="str">
        <f t="shared" si="2"/>
        <v/>
      </c>
      <c r="R58" t="str">
        <f t="shared" si="6"/>
        <v/>
      </c>
      <c r="S58" t="str">
        <f t="shared" si="6"/>
        <v/>
      </c>
      <c r="T58" s="221" t="str">
        <f t="shared" si="6"/>
        <v/>
      </c>
      <c r="U58" s="221" t="str">
        <f t="shared" si="6"/>
        <v/>
      </c>
      <c r="V58" s="223" t="str">
        <f t="shared" si="6"/>
        <v/>
      </c>
      <c r="W58" s="221" t="str">
        <f t="shared" si="6"/>
        <v/>
      </c>
      <c r="X58" s="221" t="str">
        <f t="shared" si="6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27"/>
      <c r="E59" s="23">
        <f>Kengetallen!F59</f>
        <v>0.25</v>
      </c>
      <c r="F59" s="179"/>
      <c r="G59" s="179"/>
      <c r="H59" s="24"/>
      <c r="M59" s="20" t="b">
        <f t="shared" si="1"/>
        <v>1</v>
      </c>
      <c r="Q59" s="20" t="str">
        <f t="shared" si="2"/>
        <v/>
      </c>
      <c r="R59" t="str">
        <f t="shared" si="6"/>
        <v/>
      </c>
      <c r="S59" t="str">
        <f t="shared" si="6"/>
        <v/>
      </c>
      <c r="T59" s="221" t="str">
        <f t="shared" si="6"/>
        <v/>
      </c>
      <c r="U59" s="221" t="str">
        <f t="shared" si="6"/>
        <v/>
      </c>
      <c r="V59" s="223" t="str">
        <f t="shared" si="6"/>
        <v/>
      </c>
      <c r="W59" s="221" t="str">
        <f t="shared" si="6"/>
        <v/>
      </c>
      <c r="X59" s="221" t="str">
        <f t="shared" si="6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27"/>
      <c r="E60" s="23">
        <f>Kengetallen!F60</f>
        <v>0.25</v>
      </c>
      <c r="F60" s="179"/>
      <c r="G60" s="179"/>
      <c r="H60" s="24"/>
      <c r="M60" s="20" t="b">
        <f t="shared" si="1"/>
        <v>1</v>
      </c>
      <c r="Q60" s="20" t="str">
        <f t="shared" si="2"/>
        <v/>
      </c>
      <c r="R60" t="str">
        <f t="shared" si="6"/>
        <v/>
      </c>
      <c r="S60" t="str">
        <f t="shared" si="6"/>
        <v/>
      </c>
      <c r="T60" s="221" t="str">
        <f t="shared" si="6"/>
        <v/>
      </c>
      <c r="U60" s="221" t="str">
        <f t="shared" si="6"/>
        <v/>
      </c>
      <c r="V60" s="223" t="str">
        <f t="shared" si="6"/>
        <v/>
      </c>
      <c r="W60" s="221" t="str">
        <f t="shared" si="6"/>
        <v/>
      </c>
      <c r="X60" s="221" t="str">
        <f t="shared" si="6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179"/>
      <c r="H61" s="24"/>
      <c r="M61" s="20" t="b">
        <f t="shared" si="1"/>
        <v>1</v>
      </c>
      <c r="Q61" s="20" t="str">
        <f t="shared" si="2"/>
        <v/>
      </c>
      <c r="R61" t="str">
        <f t="shared" si="6"/>
        <v/>
      </c>
      <c r="S61" t="str">
        <f t="shared" si="6"/>
        <v/>
      </c>
      <c r="T61" s="221" t="str">
        <f t="shared" si="6"/>
        <v/>
      </c>
      <c r="U61" s="221" t="str">
        <f t="shared" si="6"/>
        <v/>
      </c>
      <c r="V61" s="223" t="str">
        <f t="shared" si="6"/>
        <v/>
      </c>
      <c r="W61" s="221" t="str">
        <f t="shared" si="6"/>
        <v/>
      </c>
      <c r="X61" s="221" t="str">
        <f t="shared" si="6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H62" s="24"/>
      <c r="M62" s="20" t="b">
        <f t="shared" si="1"/>
        <v>1</v>
      </c>
      <c r="Q62" s="20" t="str">
        <f t="shared" si="2"/>
        <v/>
      </c>
      <c r="R62" t="str">
        <f t="shared" si="6"/>
        <v/>
      </c>
      <c r="S62" t="str">
        <f t="shared" si="6"/>
        <v/>
      </c>
      <c r="T62" s="221" t="str">
        <f t="shared" si="6"/>
        <v/>
      </c>
      <c r="U62" s="221" t="str">
        <f t="shared" si="6"/>
        <v/>
      </c>
      <c r="V62" s="223" t="str">
        <f t="shared" si="6"/>
        <v/>
      </c>
      <c r="W62" s="221" t="str">
        <f t="shared" si="6"/>
        <v/>
      </c>
      <c r="X62" s="221" t="str">
        <f t="shared" si="6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H63" s="24"/>
      <c r="M63" s="20" t="b">
        <f t="shared" si="1"/>
        <v>1</v>
      </c>
      <c r="Q63" s="20" t="str">
        <f t="shared" si="2"/>
        <v/>
      </c>
      <c r="R63" t="str">
        <f t="shared" si="6"/>
        <v/>
      </c>
      <c r="S63" t="str">
        <f t="shared" si="6"/>
        <v/>
      </c>
      <c r="T63" s="221" t="str">
        <f t="shared" si="6"/>
        <v/>
      </c>
      <c r="U63" s="221" t="str">
        <f t="shared" si="6"/>
        <v/>
      </c>
      <c r="V63" s="223" t="str">
        <f t="shared" si="6"/>
        <v/>
      </c>
      <c r="W63" s="221" t="str">
        <f t="shared" si="6"/>
        <v/>
      </c>
      <c r="X63" s="221" t="str">
        <f t="shared" si="6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H64" s="24"/>
      <c r="M64" s="20" t="b">
        <f t="shared" si="1"/>
        <v>1</v>
      </c>
      <c r="Q64" s="20" t="str">
        <f t="shared" si="2"/>
        <v/>
      </c>
      <c r="R64" t="str">
        <f t="shared" si="6"/>
        <v/>
      </c>
      <c r="S64" t="str">
        <f t="shared" si="6"/>
        <v/>
      </c>
      <c r="T64" s="221" t="str">
        <f t="shared" si="6"/>
        <v/>
      </c>
      <c r="U64" s="221" t="str">
        <f t="shared" si="6"/>
        <v/>
      </c>
      <c r="V64" s="223" t="str">
        <f t="shared" si="6"/>
        <v/>
      </c>
      <c r="W64" s="221" t="str">
        <f t="shared" si="6"/>
        <v/>
      </c>
      <c r="X64" s="221" t="str">
        <f t="shared" si="6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H65" s="24"/>
      <c r="M65" s="20" t="b">
        <f t="shared" si="1"/>
        <v>1</v>
      </c>
      <c r="Q65" s="20" t="str">
        <f t="shared" si="2"/>
        <v/>
      </c>
      <c r="R65" t="str">
        <f t="shared" si="6"/>
        <v/>
      </c>
      <c r="S65" t="str">
        <f t="shared" si="6"/>
        <v/>
      </c>
      <c r="T65" s="221" t="str">
        <f t="shared" si="6"/>
        <v/>
      </c>
      <c r="U65" s="221" t="str">
        <f t="shared" si="6"/>
        <v/>
      </c>
      <c r="V65" s="223" t="str">
        <f t="shared" si="6"/>
        <v/>
      </c>
      <c r="W65" s="221" t="str">
        <f t="shared" si="6"/>
        <v/>
      </c>
      <c r="X65" s="221" t="str">
        <f t="shared" si="6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179"/>
      <c r="H66" s="24"/>
      <c r="M66" s="20" t="b">
        <f t="shared" si="1"/>
        <v>1</v>
      </c>
      <c r="Q66" s="20" t="str">
        <f t="shared" si="2"/>
        <v/>
      </c>
      <c r="R66" t="str">
        <f t="shared" si="6"/>
        <v/>
      </c>
      <c r="S66" t="str">
        <f t="shared" si="6"/>
        <v/>
      </c>
      <c r="T66" s="221" t="str">
        <f t="shared" si="6"/>
        <v/>
      </c>
      <c r="U66" s="221" t="str">
        <f t="shared" si="6"/>
        <v/>
      </c>
      <c r="V66" s="223" t="str">
        <f t="shared" si="6"/>
        <v/>
      </c>
      <c r="W66" s="221" t="str">
        <f t="shared" si="6"/>
        <v/>
      </c>
      <c r="X66" s="221" t="str">
        <f t="shared" si="6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H67" s="24"/>
      <c r="M67" s="20" t="b">
        <f t="shared" si="1"/>
        <v>1</v>
      </c>
      <c r="Q67" s="20" t="str">
        <f t="shared" si="2"/>
        <v/>
      </c>
      <c r="R67" t="str">
        <f t="shared" si="6"/>
        <v/>
      </c>
      <c r="S67" t="str">
        <f t="shared" si="6"/>
        <v/>
      </c>
      <c r="T67" s="221" t="str">
        <f t="shared" si="6"/>
        <v/>
      </c>
      <c r="U67" s="221" t="str">
        <f t="shared" si="6"/>
        <v/>
      </c>
      <c r="V67" s="223" t="str">
        <f t="shared" si="6"/>
        <v/>
      </c>
      <c r="W67" s="221" t="str">
        <f t="shared" si="6"/>
        <v/>
      </c>
      <c r="X67" s="221" t="str">
        <f t="shared" si="6"/>
        <v/>
      </c>
    </row>
    <row r="68" spans="1:24" s="20" customFormat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>
        <f>C68*E68</f>
        <v>4.3183703916224365</v>
      </c>
      <c r="G68" s="179">
        <f>D68*E68</f>
        <v>0</v>
      </c>
      <c r="H68" s="24"/>
      <c r="M68" s="20" t="b">
        <f t="shared" si="1"/>
        <v>0</v>
      </c>
      <c r="Q68" s="20">
        <f t="shared" si="2"/>
        <v>68</v>
      </c>
      <c r="R68" t="str">
        <f t="shared" si="6"/>
        <v/>
      </c>
      <c r="S68" t="str">
        <f t="shared" si="6"/>
        <v/>
      </c>
      <c r="T68" s="221" t="str">
        <f t="shared" si="6"/>
        <v/>
      </c>
      <c r="U68" s="221" t="str">
        <f t="shared" si="6"/>
        <v/>
      </c>
      <c r="V68" s="223" t="str">
        <f t="shared" si="6"/>
        <v/>
      </c>
      <c r="W68" s="221" t="str">
        <f t="shared" si="6"/>
        <v/>
      </c>
      <c r="X68" s="221" t="str">
        <f t="shared" si="6"/>
        <v/>
      </c>
    </row>
    <row r="69" spans="1:24">
      <c r="I69" s="297" t="s">
        <v>644</v>
      </c>
    </row>
    <row r="70" spans="1:24">
      <c r="I70" s="297"/>
    </row>
    <row r="71" spans="1:24">
      <c r="I71" s="297"/>
    </row>
  </sheetData>
  <sheetProtection sheet="1" objects="1" scenarios="1"/>
  <autoFilter ref="M1:M71">
    <filterColumn colId="0">
      <filters>
        <filter val="ONWAAR"/>
      </filters>
    </filterColumn>
  </autoFilter>
  <mergeCells count="7">
    <mergeCell ref="L2:L3"/>
    <mergeCell ref="I69:I71"/>
    <mergeCell ref="A1:B1"/>
    <mergeCell ref="F1:H1"/>
    <mergeCell ref="F2:H2"/>
    <mergeCell ref="J2:J3"/>
    <mergeCell ref="K2:K3"/>
  </mergeCells>
  <phoneticPr fontId="26" type="noConversion"/>
  <hyperlinks>
    <hyperlink ref="I69:I71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filterMode="1" enableFormatConditionsCalculation="0"/>
  <dimension ref="A1:X73"/>
  <sheetViews>
    <sheetView topLeftCell="C1" workbookViewId="0">
      <selection activeCell="P1" sqref="P1:Y1048576"/>
    </sheetView>
  </sheetViews>
  <sheetFormatPr defaultColWidth="8.85546875" defaultRowHeight="15"/>
  <cols>
    <col min="1" max="1" width="8.42578125" customWidth="1"/>
    <col min="2" max="2" width="45.42578125" customWidth="1"/>
    <col min="3" max="3" width="10" style="22" customWidth="1"/>
    <col min="4" max="4" width="12.7109375" customWidth="1"/>
    <col min="5" max="5" width="9.42578125" style="3" customWidth="1"/>
    <col min="6" max="6" width="10" style="22" bestFit="1" customWidth="1"/>
    <col min="7" max="7" width="13" style="22" customWidth="1"/>
    <col min="9" max="9" width="10.42578125" style="1" customWidth="1"/>
    <col min="10" max="12" width="14.7109375" style="1" customWidth="1"/>
    <col min="13" max="13" width="11.28515625" customWidth="1"/>
    <col min="16" max="20" width="0" hidden="1" customWidth="1"/>
    <col min="21" max="21" width="11" hidden="1" customWidth="1"/>
    <col min="22" max="22" width="0" style="223" hidden="1" customWidth="1"/>
    <col min="23" max="25" width="0" hidden="1" customWidth="1"/>
    <col min="28" max="28" width="10.28515625" customWidth="1"/>
  </cols>
  <sheetData>
    <row r="1" spans="1:24" ht="43.35" customHeight="1">
      <c r="A1" s="298" t="s">
        <v>604</v>
      </c>
      <c r="B1" s="298"/>
      <c r="C1" s="14"/>
      <c r="D1" s="8"/>
      <c r="E1" s="10"/>
      <c r="F1" s="302"/>
      <c r="G1" s="302"/>
      <c r="H1" s="302"/>
      <c r="M1" s="2" t="s">
        <v>18</v>
      </c>
    </row>
    <row r="2" spans="1:24" ht="41.1" customHeight="1">
      <c r="A2" s="19" t="s">
        <v>92</v>
      </c>
      <c r="B2" s="18">
        <f ca="1">TODAY()</f>
        <v>42771</v>
      </c>
      <c r="C2" s="21" t="s">
        <v>23</v>
      </c>
      <c r="D2" s="11" t="s">
        <v>25</v>
      </c>
      <c r="E2" s="12" t="s">
        <v>24</v>
      </c>
      <c r="F2" s="303" t="s">
        <v>67</v>
      </c>
      <c r="G2" s="303"/>
      <c r="H2" s="303"/>
      <c r="J2" s="301" t="s">
        <v>96</v>
      </c>
      <c r="K2" s="296" t="s">
        <v>97</v>
      </c>
      <c r="L2" s="296" t="s">
        <v>89</v>
      </c>
      <c r="M2" s="2"/>
      <c r="Q2" s="214"/>
      <c r="R2" s="20"/>
    </row>
    <row r="3" spans="1:24" ht="41.1" customHeight="1">
      <c r="A3" s="8"/>
      <c r="B3" s="9"/>
      <c r="C3" s="21"/>
      <c r="D3" s="11"/>
      <c r="E3" s="12"/>
      <c r="F3" s="177" t="s">
        <v>19</v>
      </c>
      <c r="G3" s="178" t="s">
        <v>20</v>
      </c>
      <c r="H3" s="181" t="s">
        <v>16</v>
      </c>
      <c r="I3" s="4" t="s">
        <v>90</v>
      </c>
      <c r="J3" s="301"/>
      <c r="K3" s="296"/>
      <c r="L3" s="296"/>
      <c r="M3" s="2"/>
      <c r="Q3" t="s">
        <v>713</v>
      </c>
      <c r="R3" s="13" t="s">
        <v>22</v>
      </c>
      <c r="S3" s="13" t="s">
        <v>21</v>
      </c>
      <c r="T3" s="21" t="s">
        <v>23</v>
      </c>
      <c r="U3" s="11" t="s">
        <v>712</v>
      </c>
      <c r="V3" s="12" t="s">
        <v>24</v>
      </c>
      <c r="W3" s="177" t="s">
        <v>19</v>
      </c>
      <c r="X3" s="178" t="s">
        <v>711</v>
      </c>
    </row>
    <row r="4" spans="1:24">
      <c r="A4" s="13" t="s">
        <v>22</v>
      </c>
      <c r="B4" s="13" t="s">
        <v>21</v>
      </c>
      <c r="C4" s="14">
        <f>SUM(C8,C12)</f>
        <v>661.46</v>
      </c>
      <c r="D4" s="14">
        <f>SUM(D8,D12)</f>
        <v>2118.3599999999997</v>
      </c>
      <c r="E4" s="10"/>
      <c r="F4" s="14">
        <f>SUM(F8,F12)</f>
        <v>99.265100000000004</v>
      </c>
      <c r="G4" s="14">
        <f>SUM(G8,G12)</f>
        <v>288.4006</v>
      </c>
      <c r="H4" s="175">
        <f>SUM(F4,G4)</f>
        <v>387.66570000000002</v>
      </c>
      <c r="I4" s="180">
        <f>F4/(Kengetallen!C4)</f>
        <v>4.9508778054862841</v>
      </c>
      <c r="J4" s="1">
        <v>84</v>
      </c>
      <c r="K4" s="15">
        <f>ROUNDUP(J4-I4,1)</f>
        <v>79.099999999999994</v>
      </c>
      <c r="L4" s="16">
        <f>D4-G4</f>
        <v>1829.9593999999997</v>
      </c>
      <c r="M4" t="b">
        <f>ISBLANK(F4)</f>
        <v>0</v>
      </c>
      <c r="W4" s="216">
        <f>SUM(W5,W6)</f>
        <v>99.265100000000004</v>
      </c>
      <c r="X4" s="216">
        <f>SUM(X5,X6)</f>
        <v>288.4006</v>
      </c>
    </row>
    <row r="5" spans="1:24" s="20" customFormat="1" hidden="1">
      <c r="A5" s="20" t="str">
        <f>Kengetallen!A4</f>
        <v>X831</v>
      </c>
      <c r="B5" s="2" t="str">
        <f>Kengetallen!B4</f>
        <v>5 minuten tarief CBT Antonius</v>
      </c>
      <c r="C5" s="24">
        <f>Kengetallen!C4</f>
        <v>20.05</v>
      </c>
      <c r="E5" s="23"/>
      <c r="F5" s="24"/>
      <c r="G5" s="24"/>
      <c r="M5" s="20" t="b">
        <f>ISBLANK(F5)</f>
        <v>1</v>
      </c>
      <c r="Q5" s="20" t="str">
        <f>IF(F5&gt;0,ROW(),"")</f>
        <v/>
      </c>
      <c r="R5" t="str">
        <f t="shared" ref="R5:X7" si="0">IFERROR(INDEX(A$1:A$68,SMALL($Q$5:$Q$68,ROW(L1)),1),"")</f>
        <v>J42</v>
      </c>
      <c r="S5" t="str">
        <f t="shared" si="0"/>
        <v>Staaf tussen twee implantaten</v>
      </c>
      <c r="T5" s="221">
        <f t="shared" si="0"/>
        <v>188.33</v>
      </c>
      <c r="U5" s="221">
        <f t="shared" si="0"/>
        <v>1024.58</v>
      </c>
      <c r="V5" s="223">
        <f t="shared" si="0"/>
        <v>0.1</v>
      </c>
      <c r="W5" s="221">
        <f t="shared" si="0"/>
        <v>18.833000000000002</v>
      </c>
      <c r="X5" s="221">
        <f t="shared" si="0"/>
        <v>102.458</v>
      </c>
    </row>
    <row r="6" spans="1:24" s="20" customFormat="1" hidden="1">
      <c r="A6" s="20" t="str">
        <f>Kengetallen!A5</f>
        <v>J40</v>
      </c>
      <c r="B6" s="2" t="str">
        <f>Kengetallen!B5</f>
        <v>Twee magneten/drukknoppen</v>
      </c>
      <c r="C6" s="24">
        <f>Kengetallen!C5</f>
        <v>142.4</v>
      </c>
      <c r="D6" s="174">
        <f>Kengetallen!D5</f>
        <v>280</v>
      </c>
      <c r="E6" s="23">
        <f>Kengetallen!F5</f>
        <v>0.1</v>
      </c>
      <c r="F6" s="179"/>
      <c r="G6" s="24"/>
      <c r="M6" s="20" t="b">
        <f t="shared" ref="M6" si="1">ISBLANK(F6)</f>
        <v>1</v>
      </c>
      <c r="Q6" s="20" t="str">
        <f t="shared" ref="Q6:Q68" si="2">IF(F6&gt;0,ROW(),"")</f>
        <v/>
      </c>
      <c r="R6" t="str">
        <f t="shared" si="0"/>
        <v>J50</v>
      </c>
      <c r="S6" t="str">
        <f t="shared" si="0"/>
        <v>Boven- en onder klikgebit, 2 implantaten onderkaak met staaf en conventionele bovenprothese</v>
      </c>
      <c r="T6" s="221">
        <f t="shared" si="0"/>
        <v>473.13</v>
      </c>
      <c r="U6" s="221">
        <f t="shared" si="0"/>
        <v>1093.78</v>
      </c>
      <c r="V6" s="223">
        <f t="shared" si="0"/>
        <v>0.17</v>
      </c>
      <c r="W6" s="221">
        <f t="shared" si="0"/>
        <v>80.432100000000005</v>
      </c>
      <c r="X6" s="221">
        <f t="shared" si="0"/>
        <v>185.9426</v>
      </c>
    </row>
    <row r="7" spans="1:24" s="20" customFormat="1" hidden="1">
      <c r="A7" s="20" t="str">
        <f>Kengetallen!A6</f>
        <v>J41</v>
      </c>
      <c r="B7" s="2" t="str">
        <f>Kengetallen!B6</f>
        <v>Elke volgende magneet, drukknop</v>
      </c>
      <c r="C7" s="24">
        <f>Kengetallen!C6</f>
        <v>32.14</v>
      </c>
      <c r="D7" s="174">
        <f>Kengetallen!D6</f>
        <v>140</v>
      </c>
      <c r="E7" s="23">
        <f>Kengetallen!F6</f>
        <v>0.1</v>
      </c>
      <c r="F7" s="179"/>
      <c r="G7" s="24"/>
      <c r="M7" s="20" t="b">
        <f t="shared" ref="M7:M48" si="3">ISBLANK(F7)</f>
        <v>1</v>
      </c>
      <c r="Q7" s="20" t="str">
        <f t="shared" si="2"/>
        <v/>
      </c>
      <c r="R7" t="str">
        <f t="shared" si="0"/>
        <v/>
      </c>
      <c r="S7" t="str">
        <f t="shared" si="0"/>
        <v/>
      </c>
      <c r="T7" s="221" t="str">
        <f t="shared" si="0"/>
        <v/>
      </c>
      <c r="U7" s="221" t="str">
        <f t="shared" si="0"/>
        <v/>
      </c>
      <c r="V7" s="223" t="str">
        <f t="shared" si="0"/>
        <v/>
      </c>
      <c r="W7" s="221" t="str">
        <f t="shared" si="0"/>
        <v/>
      </c>
      <c r="X7" s="221" t="str">
        <f t="shared" si="0"/>
        <v/>
      </c>
    </row>
    <row r="8" spans="1:24" s="20" customFormat="1">
      <c r="A8" s="20" t="str">
        <f>Kengetallen!A7</f>
        <v>J42</v>
      </c>
      <c r="B8" s="2" t="str">
        <f>Kengetallen!B7</f>
        <v>Staaf tussen twee implantaten</v>
      </c>
      <c r="C8" s="24">
        <f>Kengetallen!C7</f>
        <v>188.33</v>
      </c>
      <c r="D8" s="174">
        <f>Kengetallen!D7</f>
        <v>1024.58</v>
      </c>
      <c r="E8" s="23">
        <f>Kengetallen!F7</f>
        <v>0.1</v>
      </c>
      <c r="F8" s="179">
        <f>C8*E8</f>
        <v>18.833000000000002</v>
      </c>
      <c r="G8" s="179">
        <f>D8*E8</f>
        <v>102.458</v>
      </c>
      <c r="M8" s="20" t="b">
        <f t="shared" si="3"/>
        <v>0</v>
      </c>
      <c r="Q8" s="20">
        <f t="shared" si="2"/>
        <v>8</v>
      </c>
      <c r="R8" t="str">
        <f t="shared" ref="R8:W8" si="4">IFERROR(INDEX(A$1:A$68,SMALL($Q$5:$Q$68,ROW(L4)),1),"")</f>
        <v/>
      </c>
      <c r="S8" t="str">
        <f t="shared" si="4"/>
        <v/>
      </c>
      <c r="T8" s="221" t="str">
        <f t="shared" si="4"/>
        <v/>
      </c>
      <c r="U8" s="221" t="str">
        <f t="shared" si="4"/>
        <v/>
      </c>
      <c r="V8" s="223" t="str">
        <f t="shared" si="4"/>
        <v/>
      </c>
      <c r="W8" s="221" t="str">
        <f t="shared" si="4"/>
        <v/>
      </c>
      <c r="X8" s="221" t="str">
        <f>IFERROR(INDEX(G$1:G$68,SMALL($Q$5:$Q$68,ROW(#REF!)),1),"")</f>
        <v/>
      </c>
    </row>
    <row r="9" spans="1:24" s="20" customFormat="1" ht="30" hidden="1">
      <c r="A9" s="20" t="str">
        <f>Kengetallen!A8</f>
        <v>J43</v>
      </c>
      <c r="B9" s="2" t="str">
        <f>Kengetallen!B8</f>
        <v>Elke volgende staaf tussen implantaten in dezelfde kaak</v>
      </c>
      <c r="C9" s="24">
        <f>Kengetallen!C8</f>
        <v>59.72</v>
      </c>
      <c r="D9" s="174">
        <f>Kengetallen!D8</f>
        <v>469.79</v>
      </c>
      <c r="E9" s="23">
        <f>Kengetallen!F8</f>
        <v>0.1</v>
      </c>
      <c r="F9" s="179"/>
      <c r="G9" s="24"/>
      <c r="M9" s="20" t="b">
        <f t="shared" si="3"/>
        <v>1</v>
      </c>
      <c r="Q9" s="20" t="str">
        <f t="shared" si="2"/>
        <v/>
      </c>
      <c r="R9" t="str">
        <f t="shared" ref="R9:X24" si="5">IFERROR(INDEX(A$1:A$68,SMALL($Q$5:$Q$68,ROW(L5)),1),"")</f>
        <v/>
      </c>
      <c r="S9" t="str">
        <f t="shared" si="5"/>
        <v/>
      </c>
      <c r="T9" s="221" t="str">
        <f t="shared" si="5"/>
        <v/>
      </c>
      <c r="U9" s="221" t="str">
        <f t="shared" si="5"/>
        <v/>
      </c>
      <c r="V9" s="223" t="str">
        <f t="shared" si="5"/>
        <v/>
      </c>
      <c r="W9" s="221" t="str">
        <f t="shared" si="5"/>
        <v/>
      </c>
      <c r="X9" s="221" t="str">
        <f>IFERROR(INDEX(G$1:G$68,SMALL($Q$5:$Q$68,ROW(R5)),1),"")</f>
        <v/>
      </c>
    </row>
    <row r="10" spans="1:24" s="20" customFormat="1" hidden="1">
      <c r="B10" s="2"/>
      <c r="C10" s="24"/>
      <c r="D10" s="174">
        <f>Kengetallen!D9</f>
        <v>0</v>
      </c>
      <c r="E10" s="23"/>
      <c r="F10" s="179"/>
      <c r="G10" s="24"/>
      <c r="M10" s="20" t="b">
        <f t="shared" si="3"/>
        <v>1</v>
      </c>
      <c r="Q10" s="20" t="str">
        <f t="shared" si="2"/>
        <v/>
      </c>
      <c r="R10" t="str">
        <f t="shared" si="5"/>
        <v/>
      </c>
      <c r="S10" t="str">
        <f t="shared" si="5"/>
        <v/>
      </c>
      <c r="T10" s="221" t="str">
        <f t="shared" si="5"/>
        <v/>
      </c>
      <c r="U10" s="221" t="str">
        <f t="shared" si="5"/>
        <v/>
      </c>
      <c r="V10" s="223" t="str">
        <f t="shared" si="5"/>
        <v/>
      </c>
      <c r="W10" s="221" t="str">
        <f t="shared" si="5"/>
        <v/>
      </c>
      <c r="X10" s="221" t="str">
        <f>IFERROR(INDEX(G$1:G$68,SMALL($Q$5:$Q$68,ROW(R6)),1),"")</f>
        <v/>
      </c>
    </row>
    <row r="11" spans="1:24" s="20" customFormat="1" hidden="1">
      <c r="A11" s="20" t="str">
        <f>Kengetallen!A10</f>
        <v>f.</v>
      </c>
      <c r="B11" s="2" t="str">
        <f>Kengetallen!B10</f>
        <v>Prothetische behandeling na klikgebit</v>
      </c>
      <c r="C11" s="24"/>
      <c r="D11" s="174">
        <f>Kengetallen!D10</f>
        <v>0</v>
      </c>
      <c r="E11" s="23"/>
      <c r="F11" s="179"/>
      <c r="G11" s="24"/>
      <c r="M11" s="20" t="b">
        <f t="shared" si="3"/>
        <v>1</v>
      </c>
      <c r="Q11" s="20" t="str">
        <f t="shared" si="2"/>
        <v/>
      </c>
      <c r="R11" t="str">
        <f t="shared" si="5"/>
        <v/>
      </c>
      <c r="S11" t="str">
        <f t="shared" si="5"/>
        <v/>
      </c>
      <c r="T11" s="221" t="str">
        <f t="shared" si="5"/>
        <v/>
      </c>
      <c r="U11" s="221" t="str">
        <f t="shared" si="5"/>
        <v/>
      </c>
      <c r="V11" s="223" t="str">
        <f t="shared" si="5"/>
        <v/>
      </c>
      <c r="W11" s="221" t="str">
        <f t="shared" si="5"/>
        <v/>
      </c>
      <c r="X11" s="221" t="str">
        <f t="shared" si="5"/>
        <v/>
      </c>
    </row>
    <row r="12" spans="1:24" s="20" customFormat="1" ht="45">
      <c r="A12" s="20" t="str">
        <f>Kengetallen!A11</f>
        <v>J50</v>
      </c>
      <c r="B12" s="2" t="str">
        <f>Kengetallen!B11</f>
        <v>Boven- en onder klikgebit, 2 implantaten onderkaak met staaf en conventionele bovenprothese</v>
      </c>
      <c r="C12" s="24">
        <f>Kengetallen!C11</f>
        <v>473.13</v>
      </c>
      <c r="D12" s="174">
        <f>Kengetallen!D11</f>
        <v>1093.78</v>
      </c>
      <c r="E12" s="23">
        <f>Kengetallen!F11</f>
        <v>0.17</v>
      </c>
      <c r="F12" s="179">
        <f>C12*E12</f>
        <v>80.432100000000005</v>
      </c>
      <c r="G12" s="179">
        <f>D12*E12</f>
        <v>185.9426</v>
      </c>
      <c r="M12" s="20" t="b">
        <f t="shared" si="3"/>
        <v>0</v>
      </c>
      <c r="Q12" s="20">
        <f t="shared" si="2"/>
        <v>12</v>
      </c>
      <c r="R12" t="str">
        <f t="shared" si="5"/>
        <v/>
      </c>
      <c r="S12" t="str">
        <f t="shared" si="5"/>
        <v/>
      </c>
      <c r="T12" s="221" t="str">
        <f t="shared" si="5"/>
        <v/>
      </c>
      <c r="U12" s="221" t="str">
        <f t="shared" si="5"/>
        <v/>
      </c>
      <c r="V12" s="223" t="str">
        <f t="shared" si="5"/>
        <v/>
      </c>
      <c r="W12" s="221" t="str">
        <f t="shared" si="5"/>
        <v/>
      </c>
      <c r="X12" s="221" t="str">
        <f t="shared" si="5"/>
        <v/>
      </c>
    </row>
    <row r="13" spans="1:24" s="20" customFormat="1" ht="45" hidden="1">
      <c r="A13" s="20" t="str">
        <f>Kengetallen!A12</f>
        <v>J50</v>
      </c>
      <c r="B13" s="2" t="str">
        <f>Kengetallen!B12</f>
        <v>Boven- en onder klikgebit, 4 implantaten onderkaak met staaf en conventionele bovenprothese</v>
      </c>
      <c r="C13" s="24">
        <f>Kengetallen!C12</f>
        <v>473.13</v>
      </c>
      <c r="D13" s="174">
        <f>Kengetallen!D12</f>
        <v>1282.56</v>
      </c>
      <c r="E13" s="23">
        <f>Kengetallen!F12</f>
        <v>0.17</v>
      </c>
      <c r="F13" s="179"/>
      <c r="G13" s="24"/>
      <c r="M13" s="20" t="b">
        <f t="shared" si="3"/>
        <v>1</v>
      </c>
      <c r="Q13" s="20" t="str">
        <f t="shared" si="2"/>
        <v/>
      </c>
      <c r="R13" t="str">
        <f t="shared" si="5"/>
        <v/>
      </c>
      <c r="S13" t="str">
        <f t="shared" si="5"/>
        <v/>
      </c>
      <c r="T13" s="221" t="str">
        <f t="shared" si="5"/>
        <v/>
      </c>
      <c r="U13" s="221" t="str">
        <f t="shared" si="5"/>
        <v/>
      </c>
      <c r="V13" s="223" t="str">
        <f t="shared" si="5"/>
        <v/>
      </c>
      <c r="W13" s="221" t="str">
        <f t="shared" si="5"/>
        <v/>
      </c>
      <c r="X13" s="221" t="str">
        <f t="shared" si="5"/>
        <v/>
      </c>
    </row>
    <row r="14" spans="1:24" s="20" customFormat="1" ht="45" hidden="1">
      <c r="A14" s="20" t="str">
        <f>Kengetallen!A13</f>
        <v>J50</v>
      </c>
      <c r="B14" s="2" t="str">
        <f>Kengetallen!B13</f>
        <v>Boven- en onder klikgebit, 2 implantaten onderkaak met drukknoppen en conventionele bovenprothese</v>
      </c>
      <c r="C14" s="24">
        <f>Kengetallen!C13</f>
        <v>473.13</v>
      </c>
      <c r="D14" s="174">
        <f>Kengetallen!D13</f>
        <v>1262.0999999999999</v>
      </c>
      <c r="E14" s="23">
        <f>Kengetallen!F13</f>
        <v>0.17</v>
      </c>
      <c r="F14" s="179"/>
      <c r="G14" s="24"/>
      <c r="M14" s="20" t="b">
        <f t="shared" si="3"/>
        <v>1</v>
      </c>
      <c r="Q14" s="20" t="str">
        <f t="shared" si="2"/>
        <v/>
      </c>
      <c r="R14" t="str">
        <f t="shared" si="5"/>
        <v/>
      </c>
      <c r="S14" t="str">
        <f t="shared" si="5"/>
        <v/>
      </c>
      <c r="T14" s="221" t="str">
        <f t="shared" si="5"/>
        <v/>
      </c>
      <c r="U14" s="221" t="str">
        <f t="shared" si="5"/>
        <v/>
      </c>
      <c r="V14" s="223" t="str">
        <f t="shared" si="5"/>
        <v/>
      </c>
      <c r="W14" s="221" t="str">
        <f t="shared" si="5"/>
        <v/>
      </c>
      <c r="X14" s="221" t="str">
        <f t="shared" si="5"/>
        <v/>
      </c>
    </row>
    <row r="15" spans="1:24" s="20" customFormat="1" ht="45" hidden="1">
      <c r="A15" s="20" t="str">
        <f>Kengetallen!A14</f>
        <v>J50</v>
      </c>
      <c r="B15" s="2" t="str">
        <f>Kengetallen!B14</f>
        <v>Boven- en onder klikgebit, 4 implantaten onderkaak met drukknoppen en conventionele bovenprothese</v>
      </c>
      <c r="C15" s="24">
        <f>Kengetallen!C14</f>
        <v>473.13</v>
      </c>
      <c r="D15" s="174">
        <f>Kengetallen!D14</f>
        <v>1461.88</v>
      </c>
      <c r="E15" s="23">
        <f>Kengetallen!F14</f>
        <v>0.17</v>
      </c>
      <c r="F15" s="179"/>
      <c r="G15" s="24"/>
      <c r="M15" s="20" t="b">
        <f t="shared" si="3"/>
        <v>1</v>
      </c>
      <c r="Q15" s="20" t="str">
        <f t="shared" si="2"/>
        <v/>
      </c>
      <c r="R15" t="str">
        <f t="shared" si="5"/>
        <v/>
      </c>
      <c r="S15" t="str">
        <f t="shared" si="5"/>
        <v/>
      </c>
      <c r="T15" s="221" t="str">
        <f t="shared" si="5"/>
        <v/>
      </c>
      <c r="U15" s="221" t="str">
        <f t="shared" si="5"/>
        <v/>
      </c>
      <c r="V15" s="223" t="str">
        <f t="shared" si="5"/>
        <v/>
      </c>
      <c r="W15" s="221" t="str">
        <f t="shared" si="5"/>
        <v/>
      </c>
      <c r="X15" s="221" t="str">
        <f t="shared" si="5"/>
        <v/>
      </c>
    </row>
    <row r="16" spans="1:24" s="20" customFormat="1" hidden="1">
      <c r="B16" s="2"/>
      <c r="C16" s="24"/>
      <c r="D16" s="174">
        <f>Kengetallen!D15</f>
        <v>0</v>
      </c>
      <c r="E16" s="23"/>
      <c r="F16" s="179"/>
      <c r="G16" s="24"/>
      <c r="M16" s="20" t="b">
        <f t="shared" si="3"/>
        <v>1</v>
      </c>
      <c r="Q16" s="20" t="str">
        <f t="shared" si="2"/>
        <v/>
      </c>
      <c r="R16" t="str">
        <f t="shared" si="5"/>
        <v/>
      </c>
      <c r="S16" t="str">
        <f t="shared" si="5"/>
        <v/>
      </c>
      <c r="T16" s="221" t="str">
        <f t="shared" si="5"/>
        <v/>
      </c>
      <c r="U16" s="221" t="str">
        <f t="shared" si="5"/>
        <v/>
      </c>
      <c r="V16" s="223" t="str">
        <f t="shared" si="5"/>
        <v/>
      </c>
      <c r="W16" s="221" t="str">
        <f t="shared" si="5"/>
        <v/>
      </c>
      <c r="X16" s="221" t="str">
        <f t="shared" si="5"/>
        <v/>
      </c>
    </row>
    <row r="17" spans="1:24" s="20" customFormat="1" ht="30" hidden="1">
      <c r="A17" s="20" t="str">
        <f>Kengetallen!A16</f>
        <v>J51</v>
      </c>
      <c r="B17" s="2" t="str">
        <f>Kengetallen!B16</f>
        <v>Onder-klikgebit, 2 implantaten onderkaak met staaf</v>
      </c>
      <c r="C17" s="24">
        <f>Kengetallen!C16</f>
        <v>307.76</v>
      </c>
      <c r="D17" s="174">
        <f>Kengetallen!D16</f>
        <v>728.78</v>
      </c>
      <c r="E17" s="23">
        <f>Kengetallen!F16</f>
        <v>0.1</v>
      </c>
      <c r="F17" s="179"/>
      <c r="G17" s="24"/>
      <c r="M17" s="20" t="b">
        <f t="shared" si="3"/>
        <v>1</v>
      </c>
      <c r="Q17" s="20" t="str">
        <f t="shared" si="2"/>
        <v/>
      </c>
      <c r="R17" t="str">
        <f t="shared" si="5"/>
        <v/>
      </c>
      <c r="S17" t="str">
        <f t="shared" si="5"/>
        <v/>
      </c>
      <c r="T17" s="221" t="str">
        <f t="shared" si="5"/>
        <v/>
      </c>
      <c r="U17" s="221" t="str">
        <f t="shared" si="5"/>
        <v/>
      </c>
      <c r="V17" s="223" t="str">
        <f t="shared" si="5"/>
        <v/>
      </c>
      <c r="W17" s="221" t="str">
        <f t="shared" si="5"/>
        <v/>
      </c>
      <c r="X17" s="221" t="str">
        <f t="shared" si="5"/>
        <v/>
      </c>
    </row>
    <row r="18" spans="1:24" s="20" customFormat="1" ht="30" hidden="1">
      <c r="A18" s="20" t="str">
        <f>Kengetallen!A17</f>
        <v>J51</v>
      </c>
      <c r="B18" s="2" t="str">
        <f>Kengetallen!B17</f>
        <v>Onder-klikgebit, 4 implantaten onderkaak met staaf</v>
      </c>
      <c r="C18" s="24">
        <f>Kengetallen!C17</f>
        <v>307.76</v>
      </c>
      <c r="D18" s="174">
        <f>Kengetallen!D17</f>
        <v>917.56</v>
      </c>
      <c r="E18" s="23">
        <f>Kengetallen!F17</f>
        <v>0.1</v>
      </c>
      <c r="F18" s="179"/>
      <c r="G18" s="24"/>
      <c r="M18" s="20" t="b">
        <f t="shared" si="3"/>
        <v>1</v>
      </c>
      <c r="Q18" s="20" t="str">
        <f t="shared" si="2"/>
        <v/>
      </c>
      <c r="R18" t="str">
        <f t="shared" si="5"/>
        <v/>
      </c>
      <c r="S18" t="str">
        <f t="shared" si="5"/>
        <v/>
      </c>
      <c r="T18" s="221" t="str">
        <f t="shared" si="5"/>
        <v/>
      </c>
      <c r="U18" s="221" t="str">
        <f t="shared" si="5"/>
        <v/>
      </c>
      <c r="V18" s="223" t="str">
        <f t="shared" si="5"/>
        <v/>
      </c>
      <c r="W18" s="221" t="str">
        <f t="shared" si="5"/>
        <v/>
      </c>
      <c r="X18" s="221" t="str">
        <f t="shared" si="5"/>
        <v/>
      </c>
    </row>
    <row r="19" spans="1:24" s="20" customFormat="1" ht="30" hidden="1">
      <c r="A19" s="20" t="str">
        <f>Kengetallen!A18</f>
        <v>J51</v>
      </c>
      <c r="B19" s="2" t="str">
        <f>Kengetallen!B18</f>
        <v>Onder-klikgebit, 2 implantaten onderkaak met drukknoppen</v>
      </c>
      <c r="C19" s="24">
        <f>Kengetallen!C18</f>
        <v>307.76</v>
      </c>
      <c r="D19" s="174">
        <f>Kengetallen!D18</f>
        <v>818.44</v>
      </c>
      <c r="E19" s="23">
        <f>Kengetallen!F18</f>
        <v>0.1</v>
      </c>
      <c r="F19" s="179"/>
      <c r="G19" s="24"/>
      <c r="M19" s="20" t="b">
        <f t="shared" si="3"/>
        <v>1</v>
      </c>
      <c r="Q19" s="20" t="str">
        <f t="shared" si="2"/>
        <v/>
      </c>
      <c r="R19" t="str">
        <f t="shared" si="5"/>
        <v/>
      </c>
      <c r="S19" t="str">
        <f t="shared" si="5"/>
        <v/>
      </c>
      <c r="T19" s="221" t="str">
        <f t="shared" si="5"/>
        <v/>
      </c>
      <c r="U19" s="221" t="str">
        <f t="shared" si="5"/>
        <v/>
      </c>
      <c r="V19" s="223" t="str">
        <f t="shared" si="5"/>
        <v/>
      </c>
      <c r="W19" s="221" t="str">
        <f t="shared" si="5"/>
        <v/>
      </c>
      <c r="X19" s="221" t="str">
        <f t="shared" si="5"/>
        <v/>
      </c>
    </row>
    <row r="20" spans="1:24" s="20" customFormat="1" ht="30" hidden="1">
      <c r="A20" s="20" t="str">
        <f>Kengetallen!A19</f>
        <v>J51</v>
      </c>
      <c r="B20" s="2" t="str">
        <f>Kengetallen!B19</f>
        <v>Onder-klikgebit, 4 implantaten onderkaak met drukknoppen</v>
      </c>
      <c r="C20" s="24">
        <f>Kengetallen!C19</f>
        <v>307.76</v>
      </c>
      <c r="D20" s="174">
        <f>Kengetallen!D19</f>
        <v>1096.8800000000001</v>
      </c>
      <c r="E20" s="23">
        <f>Kengetallen!F19</f>
        <v>0.1</v>
      </c>
      <c r="F20" s="179"/>
      <c r="G20" s="24"/>
      <c r="M20" s="20" t="b">
        <f t="shared" si="3"/>
        <v>1</v>
      </c>
      <c r="Q20" s="20" t="str">
        <f t="shared" si="2"/>
        <v/>
      </c>
      <c r="R20" t="str">
        <f t="shared" si="5"/>
        <v/>
      </c>
      <c r="S20" t="str">
        <f t="shared" si="5"/>
        <v/>
      </c>
      <c r="T20" s="221" t="str">
        <f t="shared" si="5"/>
        <v/>
      </c>
      <c r="U20" s="221" t="str">
        <f t="shared" si="5"/>
        <v/>
      </c>
      <c r="V20" s="223" t="str">
        <f t="shared" si="5"/>
        <v/>
      </c>
      <c r="W20" s="221" t="str">
        <f t="shared" si="5"/>
        <v/>
      </c>
      <c r="X20" s="221" t="str">
        <f t="shared" si="5"/>
        <v/>
      </c>
    </row>
    <row r="21" spans="1:24" s="20" customFormat="1" ht="30" hidden="1">
      <c r="A21" s="20" t="str">
        <f>Kengetallen!A20</f>
        <v>J51</v>
      </c>
      <c r="B21" s="2" t="str">
        <f>Kengetallen!B20</f>
        <v>Wrap-around prothese onderkaak op 4 implantaten</v>
      </c>
      <c r="C21" s="24">
        <f>Kengetallen!C20</f>
        <v>307.76</v>
      </c>
      <c r="D21" s="174">
        <f>Kengetallen!D20</f>
        <v>0</v>
      </c>
      <c r="E21" s="23">
        <f>Kengetallen!F20</f>
        <v>0.1</v>
      </c>
      <c r="F21" s="179"/>
      <c r="G21" s="24"/>
      <c r="M21" s="20" t="b">
        <f t="shared" si="3"/>
        <v>1</v>
      </c>
      <c r="Q21" s="20" t="str">
        <f t="shared" si="2"/>
        <v/>
      </c>
      <c r="R21" t="str">
        <f t="shared" si="5"/>
        <v/>
      </c>
      <c r="S21" t="str">
        <f t="shared" si="5"/>
        <v/>
      </c>
      <c r="T21" s="221" t="str">
        <f t="shared" si="5"/>
        <v/>
      </c>
      <c r="U21" s="221" t="str">
        <f t="shared" si="5"/>
        <v/>
      </c>
      <c r="V21" s="223" t="str">
        <f t="shared" si="5"/>
        <v/>
      </c>
      <c r="W21" s="221" t="str">
        <f t="shared" si="5"/>
        <v/>
      </c>
      <c r="X21" s="221" t="str">
        <f t="shared" si="5"/>
        <v/>
      </c>
    </row>
    <row r="22" spans="1:24" s="20" customFormat="1" ht="30" hidden="1">
      <c r="A22" s="20" t="str">
        <f>Kengetallen!A21</f>
        <v>J51</v>
      </c>
      <c r="B22" s="2" t="str">
        <f>Kengetallen!B21</f>
        <v>Wrap-around prothese onderkaak op 6 implantaten</v>
      </c>
      <c r="C22" s="24">
        <f>Kengetallen!C21</f>
        <v>307.76</v>
      </c>
      <c r="D22" s="174">
        <f>Kengetallen!D21</f>
        <v>0</v>
      </c>
      <c r="E22" s="23">
        <f>Kengetallen!F21</f>
        <v>0.1</v>
      </c>
      <c r="F22" s="179"/>
      <c r="G22" s="24"/>
      <c r="M22" s="20" t="b">
        <f t="shared" si="3"/>
        <v>1</v>
      </c>
      <c r="Q22" s="20" t="str">
        <f t="shared" si="2"/>
        <v/>
      </c>
      <c r="R22" t="str">
        <f t="shared" si="5"/>
        <v/>
      </c>
      <c r="S22" t="str">
        <f t="shared" si="5"/>
        <v/>
      </c>
      <c r="T22" s="221" t="str">
        <f t="shared" si="5"/>
        <v/>
      </c>
      <c r="U22" s="221" t="str">
        <f t="shared" si="5"/>
        <v/>
      </c>
      <c r="V22" s="223" t="str">
        <f t="shared" si="5"/>
        <v/>
      </c>
      <c r="W22" s="221" t="str">
        <f t="shared" si="5"/>
        <v/>
      </c>
      <c r="X22" s="221" t="str">
        <f t="shared" si="5"/>
        <v/>
      </c>
    </row>
    <row r="23" spans="1:24" s="20" customFormat="1" hidden="1">
      <c r="B23" s="2"/>
      <c r="C23" s="24"/>
      <c r="D23" s="174"/>
      <c r="E23" s="23"/>
      <c r="F23" s="179"/>
      <c r="G23" s="24"/>
      <c r="M23" s="20" t="b">
        <f t="shared" si="3"/>
        <v>1</v>
      </c>
      <c r="Q23" s="20" t="str">
        <f t="shared" si="2"/>
        <v/>
      </c>
      <c r="R23" t="str">
        <f t="shared" si="5"/>
        <v/>
      </c>
      <c r="S23" t="str">
        <f t="shared" si="5"/>
        <v/>
      </c>
      <c r="T23" s="221" t="str">
        <f t="shared" si="5"/>
        <v/>
      </c>
      <c r="U23" s="221" t="str">
        <f t="shared" si="5"/>
        <v/>
      </c>
      <c r="V23" s="223" t="str">
        <f t="shared" si="5"/>
        <v/>
      </c>
      <c r="W23" s="221" t="str">
        <f t="shared" si="5"/>
        <v/>
      </c>
      <c r="X23" s="221" t="str">
        <f t="shared" si="5"/>
        <v/>
      </c>
    </row>
    <row r="24" spans="1:24" s="20" customFormat="1" ht="30" hidden="1">
      <c r="A24" s="20" t="str">
        <f>Kengetallen!A23</f>
        <v>J52</v>
      </c>
      <c r="B24" s="2" t="str">
        <f>Kengetallen!B23</f>
        <v>Boven-klikgebit, 4 implantaten bovenkaak met staaf</v>
      </c>
      <c r="C24" s="24">
        <f>Kengetallen!C23</f>
        <v>307.76</v>
      </c>
      <c r="D24" s="174">
        <f>Kengetallen!D23</f>
        <v>917.56</v>
      </c>
      <c r="E24" s="23">
        <f>Kengetallen!F23</f>
        <v>0.08</v>
      </c>
      <c r="F24" s="179"/>
      <c r="G24" s="24"/>
      <c r="M24" s="20" t="b">
        <f t="shared" si="3"/>
        <v>1</v>
      </c>
      <c r="Q24" s="20" t="str">
        <f t="shared" si="2"/>
        <v/>
      </c>
      <c r="R24" t="str">
        <f t="shared" si="5"/>
        <v/>
      </c>
      <c r="S24" t="str">
        <f t="shared" si="5"/>
        <v/>
      </c>
      <c r="T24" s="221" t="str">
        <f t="shared" si="5"/>
        <v/>
      </c>
      <c r="U24" s="221" t="str">
        <f t="shared" si="5"/>
        <v/>
      </c>
      <c r="V24" s="223" t="str">
        <f t="shared" si="5"/>
        <v/>
      </c>
      <c r="W24" s="221" t="str">
        <f t="shared" si="5"/>
        <v/>
      </c>
      <c r="X24" s="221" t="str">
        <f t="shared" si="5"/>
        <v/>
      </c>
    </row>
    <row r="25" spans="1:24" s="20" customFormat="1" ht="30" hidden="1">
      <c r="A25" s="20" t="str">
        <f>Kengetallen!A24</f>
        <v>J52</v>
      </c>
      <c r="B25" s="2" t="str">
        <f>Kengetallen!B24</f>
        <v>Boven-klikgebit, 4 implantaten bovenkaak met staaf en metaal versteviging</v>
      </c>
      <c r="C25" s="24">
        <f>Kengetallen!C24</f>
        <v>307.76</v>
      </c>
      <c r="D25" s="174">
        <f>Kengetallen!D24</f>
        <v>1047.56</v>
      </c>
      <c r="E25" s="23">
        <f>Kengetallen!F24</f>
        <v>0.08</v>
      </c>
      <c r="F25" s="179"/>
      <c r="G25" s="24"/>
      <c r="M25" s="20" t="b">
        <f t="shared" si="3"/>
        <v>1</v>
      </c>
      <c r="Q25" s="20" t="str">
        <f t="shared" si="2"/>
        <v/>
      </c>
      <c r="R25" t="str">
        <f t="shared" ref="R25:X40" si="6">IFERROR(INDEX(A$1:A$68,SMALL($Q$5:$Q$68,ROW(L21)),1),"")</f>
        <v/>
      </c>
      <c r="S25" t="str">
        <f t="shared" si="6"/>
        <v/>
      </c>
      <c r="T25" s="221" t="str">
        <f t="shared" si="6"/>
        <v/>
      </c>
      <c r="U25" s="221" t="str">
        <f t="shared" si="6"/>
        <v/>
      </c>
      <c r="V25" s="223" t="str">
        <f t="shared" si="6"/>
        <v/>
      </c>
      <c r="W25" s="221" t="str">
        <f t="shared" si="6"/>
        <v/>
      </c>
      <c r="X25" s="221" t="str">
        <f t="shared" si="6"/>
        <v/>
      </c>
    </row>
    <row r="26" spans="1:24" s="20" customFormat="1" ht="30" hidden="1">
      <c r="A26" s="20" t="str">
        <f>Kengetallen!A25</f>
        <v>J52</v>
      </c>
      <c r="B26" s="2" t="str">
        <f>Kengetallen!B25</f>
        <v>Boven-klikgebit, 6 implantaten bovenkaak met staaf</v>
      </c>
      <c r="C26" s="24">
        <f>Kengetallen!C25</f>
        <v>307.76</v>
      </c>
      <c r="D26" s="174">
        <f>Kengetallen!D25</f>
        <v>1106.3399999999999</v>
      </c>
      <c r="E26" s="23">
        <f>Kengetallen!F25</f>
        <v>0.08</v>
      </c>
      <c r="F26" s="179"/>
      <c r="G26" s="24"/>
      <c r="M26" s="20" t="b">
        <f t="shared" si="3"/>
        <v>1</v>
      </c>
      <c r="Q26" s="20" t="str">
        <f t="shared" si="2"/>
        <v/>
      </c>
      <c r="R26" t="str">
        <f t="shared" si="6"/>
        <v/>
      </c>
      <c r="S26" t="str">
        <f t="shared" si="6"/>
        <v/>
      </c>
      <c r="T26" s="221" t="str">
        <f t="shared" si="6"/>
        <v/>
      </c>
      <c r="U26" s="221" t="str">
        <f t="shared" si="6"/>
        <v/>
      </c>
      <c r="V26" s="223" t="str">
        <f t="shared" si="6"/>
        <v/>
      </c>
      <c r="W26" s="221" t="str">
        <f t="shared" si="6"/>
        <v/>
      </c>
      <c r="X26" s="221" t="str">
        <f t="shared" si="6"/>
        <v/>
      </c>
    </row>
    <row r="27" spans="1:24" s="20" customFormat="1" ht="30" hidden="1">
      <c r="A27" s="20" t="str">
        <f>Kengetallen!A26</f>
        <v>J52</v>
      </c>
      <c r="B27" s="2" t="str">
        <f>Kengetallen!B26</f>
        <v>Boven-klikgebit, 6 implantaten bovenkaak met staaf en metaalversteviging</v>
      </c>
      <c r="C27" s="24">
        <f>Kengetallen!C26</f>
        <v>307.76</v>
      </c>
      <c r="D27" s="174">
        <f>Kengetallen!D26</f>
        <v>1236.3399999999999</v>
      </c>
      <c r="E27" s="23">
        <f>Kengetallen!F26</f>
        <v>0.08</v>
      </c>
      <c r="F27" s="179"/>
      <c r="G27" s="24"/>
      <c r="M27" s="20" t="b">
        <f t="shared" si="3"/>
        <v>1</v>
      </c>
      <c r="Q27" s="20" t="str">
        <f t="shared" si="2"/>
        <v/>
      </c>
      <c r="R27" t="str">
        <f t="shared" si="6"/>
        <v/>
      </c>
      <c r="S27" t="str">
        <f t="shared" si="6"/>
        <v/>
      </c>
      <c r="T27" s="221" t="str">
        <f t="shared" si="6"/>
        <v/>
      </c>
      <c r="U27" s="221" t="str">
        <f t="shared" si="6"/>
        <v/>
      </c>
      <c r="V27" s="223" t="str">
        <f t="shared" si="6"/>
        <v/>
      </c>
      <c r="W27" s="221" t="str">
        <f t="shared" si="6"/>
        <v/>
      </c>
      <c r="X27" s="221" t="str">
        <f t="shared" si="6"/>
        <v/>
      </c>
    </row>
    <row r="28" spans="1:24" s="20" customFormat="1" ht="30" hidden="1">
      <c r="A28" s="20" t="str">
        <f>Kengetallen!A27</f>
        <v>J52</v>
      </c>
      <c r="B28" s="2" t="str">
        <f>Kengetallen!B27</f>
        <v>Boven-klikgebit, 4 implantaten bovenkaak met drukknoppen</v>
      </c>
      <c r="C28" s="24">
        <f>Kengetallen!C27</f>
        <v>307.76</v>
      </c>
      <c r="D28" s="174">
        <f>Kengetallen!D27</f>
        <v>1096.8800000000001</v>
      </c>
      <c r="E28" s="23">
        <f>Kengetallen!F27</f>
        <v>0.08</v>
      </c>
      <c r="F28" s="179"/>
      <c r="G28" s="24"/>
      <c r="M28" s="20" t="b">
        <f t="shared" si="3"/>
        <v>1</v>
      </c>
      <c r="Q28" s="20" t="str">
        <f t="shared" si="2"/>
        <v/>
      </c>
      <c r="R28" t="str">
        <f t="shared" si="6"/>
        <v/>
      </c>
      <c r="S28" t="str">
        <f t="shared" si="6"/>
        <v/>
      </c>
      <c r="T28" s="221" t="str">
        <f t="shared" si="6"/>
        <v/>
      </c>
      <c r="U28" s="221" t="str">
        <f t="shared" si="6"/>
        <v/>
      </c>
      <c r="V28" s="223" t="str">
        <f t="shared" si="6"/>
        <v/>
      </c>
      <c r="W28" s="221" t="str">
        <f t="shared" si="6"/>
        <v/>
      </c>
      <c r="X28" s="221" t="str">
        <f t="shared" si="6"/>
        <v/>
      </c>
    </row>
    <row r="29" spans="1:24" s="20" customFormat="1" ht="30" hidden="1">
      <c r="A29" s="20" t="str">
        <f>Kengetallen!A28</f>
        <v>J52</v>
      </c>
      <c r="B29" s="2" t="str">
        <f>Kengetallen!B28</f>
        <v>Boven-klikgebit, 6 implantaten bovenkaak met drukknoppen</v>
      </c>
      <c r="C29" s="24">
        <f>Kengetallen!C28</f>
        <v>307.76</v>
      </c>
      <c r="D29" s="174">
        <f>Kengetallen!D28</f>
        <v>1375.32</v>
      </c>
      <c r="E29" s="23">
        <f>Kengetallen!F28</f>
        <v>0.08</v>
      </c>
      <c r="F29" s="179"/>
      <c r="G29" s="24"/>
      <c r="M29" s="20" t="b">
        <f t="shared" si="3"/>
        <v>1</v>
      </c>
      <c r="Q29" s="20" t="str">
        <f t="shared" si="2"/>
        <v/>
      </c>
      <c r="R29" t="str">
        <f t="shared" si="6"/>
        <v/>
      </c>
      <c r="S29" t="str">
        <f t="shared" si="6"/>
        <v/>
      </c>
      <c r="T29" s="221" t="str">
        <f t="shared" si="6"/>
        <v/>
      </c>
      <c r="U29" s="221" t="str">
        <f t="shared" si="6"/>
        <v/>
      </c>
      <c r="V29" s="223" t="str">
        <f t="shared" si="6"/>
        <v/>
      </c>
      <c r="W29" s="221" t="str">
        <f t="shared" si="6"/>
        <v/>
      </c>
      <c r="X29" s="221" t="str">
        <f t="shared" si="6"/>
        <v/>
      </c>
    </row>
    <row r="30" spans="1:24" s="20" customFormat="1" ht="30" hidden="1">
      <c r="A30" s="20" t="str">
        <f>Kengetallen!A29</f>
        <v>J52</v>
      </c>
      <c r="B30" s="2" t="str">
        <f>Kengetallen!B29</f>
        <v>Wrap-around prothese bovenkaak op 4 implantaten</v>
      </c>
      <c r="C30" s="24">
        <f>Kengetallen!C29</f>
        <v>307.76</v>
      </c>
      <c r="D30" s="174">
        <f>Kengetallen!D29</f>
        <v>0</v>
      </c>
      <c r="E30" s="23">
        <f>Kengetallen!F29</f>
        <v>0.08</v>
      </c>
      <c r="F30" s="179"/>
      <c r="G30" s="24"/>
      <c r="M30" s="20" t="b">
        <f t="shared" si="3"/>
        <v>1</v>
      </c>
      <c r="Q30" s="20" t="str">
        <f t="shared" si="2"/>
        <v/>
      </c>
      <c r="R30" t="str">
        <f t="shared" si="6"/>
        <v/>
      </c>
      <c r="S30" t="str">
        <f t="shared" si="6"/>
        <v/>
      </c>
      <c r="T30" s="221" t="str">
        <f t="shared" si="6"/>
        <v/>
      </c>
      <c r="U30" s="221" t="str">
        <f t="shared" si="6"/>
        <v/>
      </c>
      <c r="V30" s="223" t="str">
        <f t="shared" si="6"/>
        <v/>
      </c>
      <c r="W30" s="221" t="str">
        <f t="shared" si="6"/>
        <v/>
      </c>
      <c r="X30" s="221" t="str">
        <f t="shared" si="6"/>
        <v/>
      </c>
    </row>
    <row r="31" spans="1:24" s="20" customFormat="1" ht="30" hidden="1">
      <c r="A31" s="20" t="str">
        <f>Kengetallen!A30</f>
        <v>J52</v>
      </c>
      <c r="B31" s="2" t="str">
        <f>Kengetallen!B30</f>
        <v>Wrap-around prothese bovenkaak op 6 implantaten</v>
      </c>
      <c r="C31" s="24">
        <f>Kengetallen!C30</f>
        <v>307.76</v>
      </c>
      <c r="D31" s="174">
        <f>Kengetallen!D30</f>
        <v>0</v>
      </c>
      <c r="E31" s="23">
        <f>Kengetallen!F30</f>
        <v>0.08</v>
      </c>
      <c r="F31" s="179"/>
      <c r="G31" s="24"/>
      <c r="M31" s="20" t="b">
        <f t="shared" si="3"/>
        <v>1</v>
      </c>
      <c r="Q31" s="20" t="str">
        <f t="shared" si="2"/>
        <v/>
      </c>
      <c r="R31" t="str">
        <f t="shared" si="6"/>
        <v/>
      </c>
      <c r="S31" t="str">
        <f t="shared" si="6"/>
        <v/>
      </c>
      <c r="T31" s="221" t="str">
        <f t="shared" si="6"/>
        <v/>
      </c>
      <c r="U31" s="221" t="str">
        <f t="shared" si="6"/>
        <v/>
      </c>
      <c r="V31" s="223" t="str">
        <f t="shared" si="6"/>
        <v/>
      </c>
      <c r="W31" s="221" t="str">
        <f t="shared" si="6"/>
        <v/>
      </c>
      <c r="X31" s="221" t="str">
        <f t="shared" si="6"/>
        <v/>
      </c>
    </row>
    <row r="32" spans="1:24" s="20" customFormat="1" hidden="1">
      <c r="B32" s="2"/>
      <c r="C32" s="24"/>
      <c r="D32" s="174">
        <f>Kengetallen!D31</f>
        <v>0</v>
      </c>
      <c r="E32" s="23">
        <f>Kengetallen!F31</f>
        <v>0</v>
      </c>
      <c r="F32" s="179"/>
      <c r="G32" s="24"/>
      <c r="M32" s="20" t="b">
        <f t="shared" si="3"/>
        <v>1</v>
      </c>
      <c r="Q32" s="20" t="str">
        <f t="shared" si="2"/>
        <v/>
      </c>
      <c r="R32" t="str">
        <f t="shared" si="6"/>
        <v/>
      </c>
      <c r="S32" t="str">
        <f t="shared" si="6"/>
        <v/>
      </c>
      <c r="T32" s="221" t="str">
        <f t="shared" si="6"/>
        <v/>
      </c>
      <c r="U32" s="221" t="str">
        <f t="shared" si="6"/>
        <v/>
      </c>
      <c r="V32" s="223" t="str">
        <f t="shared" si="6"/>
        <v/>
      </c>
      <c r="W32" s="221" t="str">
        <f t="shared" si="6"/>
        <v/>
      </c>
      <c r="X32" s="221" t="str">
        <f t="shared" si="6"/>
        <v/>
      </c>
    </row>
    <row r="33" spans="1:24" s="20" customFormat="1" hidden="1">
      <c r="A33" s="20" t="str">
        <f>Kengetallen!A32</f>
        <v>J53</v>
      </c>
      <c r="B33" s="2" t="str">
        <f>Kengetallen!B32</f>
        <v>Omvorming klikgebit</v>
      </c>
      <c r="C33" s="24">
        <f>Kengetallen!C32</f>
        <v>91.87</v>
      </c>
      <c r="D33" s="174">
        <f>Kengetallen!D32</f>
        <v>0</v>
      </c>
      <c r="E33" s="23">
        <f>Kengetallen!F32</f>
        <v>0.1</v>
      </c>
      <c r="F33" s="179"/>
      <c r="G33" s="24"/>
      <c r="M33" s="20" t="b">
        <f t="shared" si="3"/>
        <v>1</v>
      </c>
      <c r="Q33" s="20" t="str">
        <f t="shared" si="2"/>
        <v/>
      </c>
      <c r="R33" t="str">
        <f t="shared" si="6"/>
        <v/>
      </c>
      <c r="S33" t="str">
        <f t="shared" si="6"/>
        <v/>
      </c>
      <c r="T33" s="221" t="str">
        <f t="shared" si="6"/>
        <v/>
      </c>
      <c r="U33" s="221" t="str">
        <f t="shared" si="6"/>
        <v/>
      </c>
      <c r="V33" s="223" t="str">
        <f t="shared" si="6"/>
        <v/>
      </c>
      <c r="W33" s="221" t="str">
        <f t="shared" si="6"/>
        <v/>
      </c>
      <c r="X33" s="221" t="str">
        <f t="shared" si="6"/>
        <v/>
      </c>
    </row>
    <row r="34" spans="1:24" s="20" customFormat="1" ht="30" hidden="1">
      <c r="A34" s="20" t="str">
        <f>Kengetallen!A33</f>
        <v>J54</v>
      </c>
      <c r="B34" s="2" t="str">
        <f>Kengetallen!B33</f>
        <v>Omvorming klikgebit bij staven tussen 2 implantaten</v>
      </c>
      <c r="C34" s="24">
        <f>Kengetallen!C33</f>
        <v>119.43</v>
      </c>
      <c r="D34" s="174">
        <f>Kengetallen!D33</f>
        <v>0</v>
      </c>
      <c r="E34" s="23">
        <f>Kengetallen!F33</f>
        <v>0.1</v>
      </c>
      <c r="F34" s="179"/>
      <c r="G34" s="24"/>
      <c r="M34" s="20" t="b">
        <f t="shared" si="3"/>
        <v>1</v>
      </c>
      <c r="Q34" s="20" t="str">
        <f t="shared" si="2"/>
        <v/>
      </c>
      <c r="R34" t="str">
        <f t="shared" si="6"/>
        <v/>
      </c>
      <c r="S34" t="str">
        <f t="shared" si="6"/>
        <v/>
      </c>
      <c r="T34" s="221" t="str">
        <f t="shared" si="6"/>
        <v/>
      </c>
      <c r="U34" s="221" t="str">
        <f t="shared" si="6"/>
        <v/>
      </c>
      <c r="V34" s="223" t="str">
        <f t="shared" si="6"/>
        <v/>
      </c>
      <c r="W34" s="221" t="str">
        <f t="shared" si="6"/>
        <v/>
      </c>
      <c r="X34" s="221" t="str">
        <f t="shared" si="6"/>
        <v/>
      </c>
    </row>
    <row r="35" spans="1:24" s="20" customFormat="1" ht="30" hidden="1">
      <c r="A35" s="20" t="str">
        <f>Kengetallen!A34</f>
        <v>J55</v>
      </c>
      <c r="B35" s="2" t="str">
        <f>Kengetallen!B34</f>
        <v>Omvorming klikgebit bij staven tussen 3 of 4 implantaten</v>
      </c>
      <c r="C35" s="24">
        <f>Kengetallen!C34</f>
        <v>137.80000000000001</v>
      </c>
      <c r="D35" s="174">
        <f>Kengetallen!D34</f>
        <v>0</v>
      </c>
      <c r="E35" s="23">
        <f>Kengetallen!F34</f>
        <v>0.1</v>
      </c>
      <c r="F35" s="179"/>
      <c r="G35" s="24"/>
      <c r="M35" s="20" t="b">
        <f t="shared" si="3"/>
        <v>1</v>
      </c>
      <c r="Q35" s="20" t="str">
        <f t="shared" si="2"/>
        <v/>
      </c>
      <c r="R35" t="str">
        <f t="shared" si="6"/>
        <v/>
      </c>
      <c r="S35" t="str">
        <f t="shared" si="6"/>
        <v/>
      </c>
      <c r="T35" s="221" t="str">
        <f t="shared" si="6"/>
        <v/>
      </c>
      <c r="U35" s="221" t="str">
        <f t="shared" si="6"/>
        <v/>
      </c>
      <c r="V35" s="223" t="str">
        <f t="shared" si="6"/>
        <v/>
      </c>
      <c r="W35" s="221" t="str">
        <f t="shared" si="6"/>
        <v/>
      </c>
      <c r="X35" s="221" t="str">
        <f t="shared" si="6"/>
        <v/>
      </c>
    </row>
    <row r="36" spans="1:24" s="20" customFormat="1" ht="30" hidden="1">
      <c r="A36" s="20" t="str">
        <f>Kengetallen!A35</f>
        <v>J56</v>
      </c>
      <c r="B36" s="2" t="str">
        <f>Kengetallen!B35</f>
        <v>Omvorming klikgebit bij staven tussen meer dan 4 implantaten</v>
      </c>
      <c r="C36" s="24">
        <f>Kengetallen!C35</f>
        <v>160.77000000000001</v>
      </c>
      <c r="D36" s="174">
        <f>Kengetallen!D35</f>
        <v>0</v>
      </c>
      <c r="E36" s="23">
        <f>Kengetallen!F35</f>
        <v>0.1</v>
      </c>
      <c r="F36" s="179"/>
      <c r="G36" s="24"/>
      <c r="M36" s="20" t="b">
        <f t="shared" si="3"/>
        <v>1</v>
      </c>
      <c r="Q36" s="20" t="str">
        <f t="shared" si="2"/>
        <v/>
      </c>
      <c r="R36" t="str">
        <f t="shared" si="6"/>
        <v/>
      </c>
      <c r="S36" t="str">
        <f t="shared" si="6"/>
        <v/>
      </c>
      <c r="T36" s="221" t="str">
        <f t="shared" si="6"/>
        <v/>
      </c>
      <c r="U36" s="221" t="str">
        <f t="shared" si="6"/>
        <v/>
      </c>
      <c r="V36" s="223" t="str">
        <f t="shared" si="6"/>
        <v/>
      </c>
      <c r="W36" s="221" t="str">
        <f t="shared" si="6"/>
        <v/>
      </c>
      <c r="X36" s="221" t="str">
        <f t="shared" si="6"/>
        <v/>
      </c>
    </row>
    <row r="37" spans="1:24" s="20" customFormat="1" ht="30" hidden="1">
      <c r="A37" s="20" t="str">
        <f>Kengetallen!A36</f>
        <v>J57</v>
      </c>
      <c r="B37" s="2" t="str">
        <f>Kengetallen!B36</f>
        <v>Toeslag vervangings- klikgebit op bestaande stegconstructie tussen 2 implantaten</v>
      </c>
      <c r="C37" s="24">
        <f>Kengetallen!C36</f>
        <v>78.09</v>
      </c>
      <c r="D37" s="174">
        <f>Kengetallen!D36</f>
        <v>0</v>
      </c>
      <c r="E37" s="23">
        <f>Kengetallen!F36</f>
        <v>0.1</v>
      </c>
      <c r="F37" s="179"/>
      <c r="G37" s="24"/>
      <c r="M37" s="20" t="b">
        <f t="shared" si="3"/>
        <v>1</v>
      </c>
      <c r="Q37" s="20" t="str">
        <f t="shared" si="2"/>
        <v/>
      </c>
      <c r="R37" t="str">
        <f t="shared" si="6"/>
        <v/>
      </c>
      <c r="S37" t="str">
        <f t="shared" si="6"/>
        <v/>
      </c>
      <c r="T37" s="221" t="str">
        <f t="shared" si="6"/>
        <v/>
      </c>
      <c r="U37" s="221" t="str">
        <f t="shared" si="6"/>
        <v/>
      </c>
      <c r="V37" s="223" t="str">
        <f t="shared" si="6"/>
        <v/>
      </c>
      <c r="W37" s="221" t="str">
        <f t="shared" si="6"/>
        <v/>
      </c>
      <c r="X37" s="221" t="str">
        <f t="shared" si="6"/>
        <v/>
      </c>
    </row>
    <row r="38" spans="1:24" s="20" customFormat="1" ht="30" hidden="1">
      <c r="A38" s="20" t="str">
        <f>Kengetallen!A37</f>
        <v>J58</v>
      </c>
      <c r="B38" s="2" t="str">
        <f>Kengetallen!B37</f>
        <v>Toeslag vervangings- klikgebit op bestaande stegcontructie tussen 3 of 4 implantaten</v>
      </c>
      <c r="C38" s="24">
        <f>Kengetallen!C37</f>
        <v>101.06</v>
      </c>
      <c r="D38" s="174">
        <f>Kengetallen!D37</f>
        <v>0</v>
      </c>
      <c r="E38" s="23">
        <f>Kengetallen!F37</f>
        <v>0.1</v>
      </c>
      <c r="F38" s="179"/>
      <c r="G38" s="24"/>
      <c r="M38" s="20" t="b">
        <f t="shared" si="3"/>
        <v>1</v>
      </c>
      <c r="Q38" s="20" t="str">
        <f t="shared" si="2"/>
        <v/>
      </c>
      <c r="R38" t="str">
        <f t="shared" si="6"/>
        <v/>
      </c>
      <c r="S38" t="str">
        <f t="shared" si="6"/>
        <v/>
      </c>
      <c r="T38" s="221" t="str">
        <f t="shared" si="6"/>
        <v/>
      </c>
      <c r="U38" s="221" t="str">
        <f t="shared" si="6"/>
        <v/>
      </c>
      <c r="V38" s="223" t="str">
        <f t="shared" si="6"/>
        <v/>
      </c>
      <c r="W38" s="221" t="str">
        <f t="shared" si="6"/>
        <v/>
      </c>
      <c r="X38" s="221" t="str">
        <f t="shared" si="6"/>
        <v/>
      </c>
    </row>
    <row r="39" spans="1:24" s="20" customFormat="1" ht="30" hidden="1">
      <c r="A39" s="20" t="str">
        <f>Kengetallen!A38</f>
        <v>J59</v>
      </c>
      <c r="B39" s="2" t="str">
        <f>Kengetallen!B38</f>
        <v>Toeslag vervangings- klikgebit op bestaande stegcontructie tussen meer dan 4 implantaten</v>
      </c>
      <c r="C39" s="24">
        <f>Kengetallen!C38</f>
        <v>124.02</v>
      </c>
      <c r="D39" s="174">
        <f>Kengetallen!D38</f>
        <v>0</v>
      </c>
      <c r="E39" s="23">
        <f>Kengetallen!F38</f>
        <v>0.1</v>
      </c>
      <c r="F39" s="179"/>
      <c r="G39" s="24"/>
      <c r="M39" s="20" t="b">
        <f t="shared" si="3"/>
        <v>1</v>
      </c>
      <c r="Q39" s="20" t="str">
        <f t="shared" si="2"/>
        <v/>
      </c>
      <c r="R39" t="str">
        <f t="shared" si="6"/>
        <v/>
      </c>
      <c r="S39" t="str">
        <f t="shared" si="6"/>
        <v/>
      </c>
      <c r="T39" s="221" t="str">
        <f t="shared" si="6"/>
        <v/>
      </c>
      <c r="U39" s="221" t="str">
        <f t="shared" si="6"/>
        <v/>
      </c>
      <c r="V39" s="223" t="str">
        <f t="shared" si="6"/>
        <v/>
      </c>
      <c r="W39" s="221" t="str">
        <f t="shared" si="6"/>
        <v/>
      </c>
      <c r="X39" s="221" t="str">
        <f t="shared" si="6"/>
        <v/>
      </c>
    </row>
    <row r="40" spans="1:24" s="20" customFormat="1" hidden="1">
      <c r="B40" s="2"/>
      <c r="C40" s="24"/>
      <c r="D40" s="174">
        <f>Kengetallen!D39</f>
        <v>0</v>
      </c>
      <c r="E40" s="23">
        <f>Kengetallen!F39</f>
        <v>0</v>
      </c>
      <c r="F40" s="179"/>
      <c r="G40" s="24"/>
      <c r="M40" s="20" t="b">
        <f t="shared" si="3"/>
        <v>1</v>
      </c>
      <c r="Q40" s="20" t="str">
        <f t="shared" si="2"/>
        <v/>
      </c>
      <c r="R40" t="str">
        <f t="shared" si="6"/>
        <v/>
      </c>
      <c r="S40" t="str">
        <f t="shared" si="6"/>
        <v/>
      </c>
      <c r="T40" s="221" t="str">
        <f t="shared" si="6"/>
        <v/>
      </c>
      <c r="U40" s="221" t="str">
        <f t="shared" si="6"/>
        <v/>
      </c>
      <c r="V40" s="223" t="str">
        <f t="shared" si="6"/>
        <v/>
      </c>
      <c r="W40" s="221" t="str">
        <f t="shared" si="6"/>
        <v/>
      </c>
      <c r="X40" s="221" t="str">
        <f t="shared" si="6"/>
        <v/>
      </c>
    </row>
    <row r="41" spans="1:24" s="20" customFormat="1" hidden="1">
      <c r="A41" s="20" t="str">
        <f>Kengetallen!A40</f>
        <v>h.</v>
      </c>
      <c r="B41" s="2" t="str">
        <f>Kengetallen!B40</f>
        <v>Prothetische nazorg</v>
      </c>
      <c r="C41" s="24"/>
      <c r="D41" s="174">
        <f>Kengetallen!D40</f>
        <v>0</v>
      </c>
      <c r="E41" s="23">
        <f>Kengetallen!F40</f>
        <v>0</v>
      </c>
      <c r="F41" s="179"/>
      <c r="G41" s="24"/>
      <c r="M41" s="20" t="b">
        <f t="shared" si="3"/>
        <v>1</v>
      </c>
      <c r="Q41" s="20" t="str">
        <f t="shared" si="2"/>
        <v/>
      </c>
      <c r="R41" t="str">
        <f t="shared" ref="R41:X56" si="7">IFERROR(INDEX(A$1:A$68,SMALL($Q$5:$Q$68,ROW(L37)),1),"")</f>
        <v/>
      </c>
      <c r="S41" t="str">
        <f t="shared" si="7"/>
        <v/>
      </c>
      <c r="T41" s="221" t="str">
        <f t="shared" si="7"/>
        <v/>
      </c>
      <c r="U41" s="221" t="str">
        <f t="shared" si="7"/>
        <v/>
      </c>
      <c r="V41" s="223" t="str">
        <f t="shared" si="7"/>
        <v/>
      </c>
      <c r="W41" s="221" t="str">
        <f t="shared" si="7"/>
        <v/>
      </c>
      <c r="X41" s="221" t="str">
        <f t="shared" si="7"/>
        <v/>
      </c>
    </row>
    <row r="42" spans="1:24" s="20" customFormat="1" hidden="1">
      <c r="A42" s="20" t="str">
        <f>Kengetallen!A41</f>
        <v>J70</v>
      </c>
      <c r="B42" s="2" t="str">
        <f>Kengetallen!B41</f>
        <v>Opvullen zonder staafdemontage</v>
      </c>
      <c r="C42" s="24">
        <f>Kengetallen!C41</f>
        <v>28.62</v>
      </c>
      <c r="D42" s="174">
        <f>Kengetallen!D41</f>
        <v>95</v>
      </c>
      <c r="E42" s="23">
        <f>Kengetallen!F41</f>
        <v>0.1</v>
      </c>
      <c r="F42" s="179"/>
      <c r="G42" s="24"/>
      <c r="M42" s="20" t="b">
        <f t="shared" si="3"/>
        <v>1</v>
      </c>
      <c r="Q42" s="20" t="str">
        <f t="shared" si="2"/>
        <v/>
      </c>
      <c r="R42" t="str">
        <f t="shared" si="7"/>
        <v/>
      </c>
      <c r="S42" t="str">
        <f t="shared" si="7"/>
        <v/>
      </c>
      <c r="T42" s="221" t="str">
        <f t="shared" si="7"/>
        <v/>
      </c>
      <c r="U42" s="221" t="str">
        <f t="shared" si="7"/>
        <v/>
      </c>
      <c r="V42" s="223" t="str">
        <f t="shared" si="7"/>
        <v/>
      </c>
      <c r="W42" s="221" t="str">
        <f t="shared" si="7"/>
        <v/>
      </c>
      <c r="X42" s="221" t="str">
        <f t="shared" si="7"/>
        <v/>
      </c>
    </row>
    <row r="43" spans="1:24" s="20" customFormat="1" ht="30" hidden="1">
      <c r="A43" s="20" t="str">
        <f>Kengetallen!A42</f>
        <v>J71</v>
      </c>
      <c r="B43" s="2" t="str">
        <f>Kengetallen!B42</f>
        <v>Opvullen met staafdemontage op twee implantaten</v>
      </c>
      <c r="C43" s="24">
        <f>Kengetallen!C42</f>
        <v>160.77000000000001</v>
      </c>
      <c r="D43" s="174">
        <f>Kengetallen!D42</f>
        <v>328.66</v>
      </c>
      <c r="E43" s="23">
        <f>Kengetallen!F42</f>
        <v>0.1</v>
      </c>
      <c r="F43" s="179"/>
      <c r="G43" s="24"/>
      <c r="M43" s="20" t="b">
        <f t="shared" si="3"/>
        <v>1</v>
      </c>
      <c r="Q43" s="20" t="str">
        <f t="shared" si="2"/>
        <v/>
      </c>
      <c r="R43" t="str">
        <f t="shared" si="7"/>
        <v/>
      </c>
      <c r="S43" t="str">
        <f t="shared" si="7"/>
        <v/>
      </c>
      <c r="T43" s="221" t="str">
        <f t="shared" si="7"/>
        <v/>
      </c>
      <c r="U43" s="221" t="str">
        <f t="shared" si="7"/>
        <v/>
      </c>
      <c r="V43" s="223" t="str">
        <f t="shared" si="7"/>
        <v/>
      </c>
      <c r="W43" s="221" t="str">
        <f t="shared" si="7"/>
        <v/>
      </c>
      <c r="X43" s="221" t="str">
        <f t="shared" si="7"/>
        <v/>
      </c>
    </row>
    <row r="44" spans="1:24" s="20" customFormat="1" ht="30" hidden="1">
      <c r="A44" s="20" t="str">
        <f>Kengetallen!A44</f>
        <v>J72</v>
      </c>
      <c r="B44" s="2" t="str">
        <f>Kengetallen!B44</f>
        <v>Opvullen met staafdemontage op 3 of 4 implantaten</v>
      </c>
      <c r="C44" s="24">
        <f>Kengetallen!C44</f>
        <v>183.74</v>
      </c>
      <c r="D44" s="174">
        <f>Kengetallen!D44</f>
        <v>407.32</v>
      </c>
      <c r="E44" s="23">
        <f>Kengetallen!F44</f>
        <v>0.1</v>
      </c>
      <c r="F44" s="179"/>
      <c r="G44" s="24"/>
      <c r="M44" s="20" t="b">
        <f t="shared" si="3"/>
        <v>1</v>
      </c>
      <c r="Q44" s="20" t="str">
        <f t="shared" si="2"/>
        <v/>
      </c>
      <c r="R44" t="str">
        <f t="shared" si="7"/>
        <v/>
      </c>
      <c r="S44" t="str">
        <f t="shared" si="7"/>
        <v/>
      </c>
      <c r="T44" s="221" t="str">
        <f t="shared" si="7"/>
        <v/>
      </c>
      <c r="U44" s="221" t="str">
        <f t="shared" si="7"/>
        <v/>
      </c>
      <c r="V44" s="223" t="str">
        <f t="shared" si="7"/>
        <v/>
      </c>
      <c r="W44" s="221" t="str">
        <f t="shared" si="7"/>
        <v/>
      </c>
      <c r="X44" s="221" t="str">
        <f t="shared" si="7"/>
        <v/>
      </c>
    </row>
    <row r="45" spans="1:24" s="20" customFormat="1" ht="30" hidden="1">
      <c r="A45" s="20" t="str">
        <f>Kengetallen!A45</f>
        <v>J73</v>
      </c>
      <c r="B45" s="2" t="str">
        <f>Kengetallen!B45</f>
        <v>Opvullen met staafdemontage op meer dan 4 implantaten</v>
      </c>
      <c r="C45" s="24">
        <f>Kengetallen!C45</f>
        <v>206.71</v>
      </c>
      <c r="D45" s="174">
        <f>Kengetallen!D45</f>
        <v>485.98</v>
      </c>
      <c r="E45" s="23">
        <f>Kengetallen!F45</f>
        <v>0.1</v>
      </c>
      <c r="F45" s="179"/>
      <c r="G45" s="24"/>
      <c r="M45" s="20" t="b">
        <f t="shared" si="3"/>
        <v>1</v>
      </c>
      <c r="Q45" s="20" t="str">
        <f t="shared" si="2"/>
        <v/>
      </c>
      <c r="R45" t="str">
        <f t="shared" si="7"/>
        <v/>
      </c>
      <c r="S45" t="str">
        <f t="shared" si="7"/>
        <v/>
      </c>
      <c r="T45" s="221" t="str">
        <f t="shared" si="7"/>
        <v/>
      </c>
      <c r="U45" s="221" t="str">
        <f t="shared" si="7"/>
        <v/>
      </c>
      <c r="V45" s="223" t="str">
        <f t="shared" si="7"/>
        <v/>
      </c>
      <c r="W45" s="221" t="str">
        <f t="shared" si="7"/>
        <v/>
      </c>
      <c r="X45" s="221" t="str">
        <f t="shared" si="7"/>
        <v/>
      </c>
    </row>
    <row r="46" spans="1:24" s="20" customFormat="1" hidden="1">
      <c r="A46" s="20" t="str">
        <f>Kengetallen!A46</f>
        <v>J74</v>
      </c>
      <c r="B46" s="2" t="str">
        <f>Kengetallen!B46</f>
        <v>Reparatie zonder staafdemontage</v>
      </c>
      <c r="C46" s="24">
        <f>Kengetallen!C46</f>
        <v>50.53</v>
      </c>
      <c r="D46" s="174">
        <f>Kengetallen!D46</f>
        <v>0</v>
      </c>
      <c r="E46" s="23">
        <f>Kengetallen!F46</f>
        <v>0.1</v>
      </c>
      <c r="F46" s="179"/>
      <c r="G46" s="24"/>
      <c r="M46" s="20" t="b">
        <f t="shared" si="3"/>
        <v>1</v>
      </c>
      <c r="Q46" s="20" t="str">
        <f t="shared" si="2"/>
        <v/>
      </c>
      <c r="R46" t="str">
        <f t="shared" si="7"/>
        <v/>
      </c>
      <c r="S46" t="str">
        <f t="shared" si="7"/>
        <v/>
      </c>
      <c r="T46" s="221" t="str">
        <f t="shared" si="7"/>
        <v/>
      </c>
      <c r="U46" s="221" t="str">
        <f t="shared" si="7"/>
        <v/>
      </c>
      <c r="V46" s="223" t="str">
        <f t="shared" si="7"/>
        <v/>
      </c>
      <c r="W46" s="221" t="str">
        <f t="shared" si="7"/>
        <v/>
      </c>
      <c r="X46" s="221" t="str">
        <f t="shared" si="7"/>
        <v/>
      </c>
    </row>
    <row r="47" spans="1:24" s="20" customFormat="1" ht="30" hidden="1">
      <c r="A47" s="20" t="str">
        <f>Kengetallen!A47</f>
        <v>J75</v>
      </c>
      <c r="B47" s="2" t="str">
        <f>Kengetallen!B47</f>
        <v>Reparatie met staafdemontage op twee implantaten</v>
      </c>
      <c r="C47" s="24">
        <f>Kengetallen!C47</f>
        <v>96.46</v>
      </c>
      <c r="D47" s="174">
        <f>Kengetallen!D47</f>
        <v>0</v>
      </c>
      <c r="E47" s="23">
        <f>Kengetallen!F47</f>
        <v>0.1</v>
      </c>
      <c r="F47" s="179"/>
      <c r="G47" s="24"/>
      <c r="M47" s="20" t="b">
        <f t="shared" si="3"/>
        <v>1</v>
      </c>
      <c r="Q47" s="20" t="str">
        <f t="shared" si="2"/>
        <v/>
      </c>
      <c r="R47" t="str">
        <f t="shared" si="7"/>
        <v/>
      </c>
      <c r="S47" t="str">
        <f t="shared" si="7"/>
        <v/>
      </c>
      <c r="T47" s="221" t="str">
        <f t="shared" si="7"/>
        <v/>
      </c>
      <c r="U47" s="221" t="str">
        <f t="shared" si="7"/>
        <v/>
      </c>
      <c r="V47" s="223" t="str">
        <f t="shared" si="7"/>
        <v/>
      </c>
      <c r="W47" s="221" t="str">
        <f t="shared" si="7"/>
        <v/>
      </c>
      <c r="X47" s="221" t="str">
        <f t="shared" si="7"/>
        <v/>
      </c>
    </row>
    <row r="48" spans="1:24" s="20" customFormat="1" ht="30" hidden="1">
      <c r="A48" s="20" t="str">
        <f>Kengetallen!A48</f>
        <v>J76</v>
      </c>
      <c r="B48" s="2" t="str">
        <f>Kengetallen!B48</f>
        <v>Reparatie met staafdemontage op 3 of 4 implantaten</v>
      </c>
      <c r="C48" s="24">
        <f>Kengetallen!C48</f>
        <v>119.43</v>
      </c>
      <c r="D48" s="174">
        <f>Kengetallen!D48</f>
        <v>0</v>
      </c>
      <c r="E48" s="23">
        <f>Kengetallen!F48</f>
        <v>0.1</v>
      </c>
      <c r="F48" s="179"/>
      <c r="G48" s="24"/>
      <c r="M48" s="20" t="b">
        <f t="shared" si="3"/>
        <v>1</v>
      </c>
      <c r="Q48" s="20" t="str">
        <f t="shared" si="2"/>
        <v/>
      </c>
      <c r="R48" t="str">
        <f t="shared" si="7"/>
        <v/>
      </c>
      <c r="S48" t="str">
        <f t="shared" si="7"/>
        <v/>
      </c>
      <c r="T48" s="221" t="str">
        <f t="shared" si="7"/>
        <v/>
      </c>
      <c r="U48" s="221" t="str">
        <f t="shared" si="7"/>
        <v/>
      </c>
      <c r="V48" s="223" t="str">
        <f t="shared" si="7"/>
        <v/>
      </c>
      <c r="W48" s="221" t="str">
        <f t="shared" si="7"/>
        <v/>
      </c>
      <c r="X48" s="221" t="str">
        <f t="shared" si="7"/>
        <v/>
      </c>
    </row>
    <row r="49" spans="1:24" s="20" customFormat="1" ht="30" hidden="1">
      <c r="A49" s="20" t="str">
        <f>Kengetallen!A49</f>
        <v>J77</v>
      </c>
      <c r="B49" s="2" t="str">
        <f>Kengetallen!B49</f>
        <v>Reparatie met staafdemontage op meer dan 4 implantaten</v>
      </c>
      <c r="C49" s="24">
        <f>Kengetallen!C49</f>
        <v>142.4</v>
      </c>
      <c r="D49" s="174">
        <f>Kengetallen!D49</f>
        <v>0</v>
      </c>
      <c r="E49" s="23">
        <f>Kengetallen!F49</f>
        <v>0.1</v>
      </c>
      <c r="F49" s="179"/>
      <c r="G49" s="24"/>
      <c r="M49" s="20" t="b">
        <f t="shared" ref="M49:M68" si="8">ISBLANK(F49)</f>
        <v>1</v>
      </c>
      <c r="Q49" s="20" t="str">
        <f t="shared" si="2"/>
        <v/>
      </c>
      <c r="R49" t="str">
        <f t="shared" si="7"/>
        <v/>
      </c>
      <c r="S49" t="str">
        <f t="shared" si="7"/>
        <v/>
      </c>
      <c r="T49" s="221" t="str">
        <f t="shared" si="7"/>
        <v/>
      </c>
      <c r="U49" s="221" t="str">
        <f t="shared" si="7"/>
        <v/>
      </c>
      <c r="V49" s="223" t="str">
        <f t="shared" si="7"/>
        <v/>
      </c>
      <c r="W49" s="221" t="str">
        <f t="shared" si="7"/>
        <v/>
      </c>
      <c r="X49" s="221" t="str">
        <f t="shared" si="7"/>
        <v/>
      </c>
    </row>
    <row r="50" spans="1:24" s="20" customFormat="1" hidden="1">
      <c r="B50" s="2"/>
      <c r="C50" s="24"/>
      <c r="D50" s="174">
        <f>Kengetallen!D50</f>
        <v>0</v>
      </c>
      <c r="E50" s="23">
        <f>Kengetallen!F50</f>
        <v>0</v>
      </c>
      <c r="F50" s="179"/>
      <c r="G50" s="24"/>
      <c r="M50" s="20" t="b">
        <f t="shared" si="8"/>
        <v>1</v>
      </c>
      <c r="Q50" s="20" t="str">
        <f t="shared" si="2"/>
        <v/>
      </c>
      <c r="R50" t="str">
        <f t="shared" si="7"/>
        <v/>
      </c>
      <c r="S50" t="str">
        <f t="shared" si="7"/>
        <v/>
      </c>
      <c r="T50" s="221" t="str">
        <f t="shared" si="7"/>
        <v/>
      </c>
      <c r="U50" s="221" t="str">
        <f t="shared" si="7"/>
        <v/>
      </c>
      <c r="V50" s="223" t="str">
        <f t="shared" si="7"/>
        <v/>
      </c>
      <c r="W50" s="221" t="str">
        <f t="shared" si="7"/>
        <v/>
      </c>
      <c r="X50" s="221" t="str">
        <f t="shared" si="7"/>
        <v/>
      </c>
    </row>
    <row r="51" spans="1:24" s="20" customFormat="1" hidden="1">
      <c r="B51" s="2"/>
      <c r="C51" s="24"/>
      <c r="D51" s="174">
        <f>Kengetallen!D51</f>
        <v>0</v>
      </c>
      <c r="E51" s="23">
        <f>Kengetallen!F51</f>
        <v>0</v>
      </c>
      <c r="F51" s="179"/>
      <c r="G51" s="24"/>
      <c r="M51" s="20" t="b">
        <f t="shared" si="8"/>
        <v>1</v>
      </c>
      <c r="Q51" s="20" t="str">
        <f t="shared" si="2"/>
        <v/>
      </c>
      <c r="R51" t="str">
        <f t="shared" si="7"/>
        <v/>
      </c>
      <c r="S51" t="str">
        <f t="shared" si="7"/>
        <v/>
      </c>
      <c r="T51" s="221" t="str">
        <f t="shared" si="7"/>
        <v/>
      </c>
      <c r="U51" s="221" t="str">
        <f t="shared" si="7"/>
        <v/>
      </c>
      <c r="V51" s="223" t="str">
        <f t="shared" si="7"/>
        <v/>
      </c>
      <c r="W51" s="221" t="str">
        <f t="shared" si="7"/>
        <v/>
      </c>
      <c r="X51" s="221" t="str">
        <f t="shared" si="7"/>
        <v/>
      </c>
    </row>
    <row r="52" spans="1:24" s="20" customFormat="1" hidden="1">
      <c r="A52" s="20" t="str">
        <f>Kengetallen!A52</f>
        <v>a.</v>
      </c>
      <c r="B52" s="2" t="str">
        <f>Kengetallen!B52</f>
        <v>Volledig kunstgebit</v>
      </c>
      <c r="C52" s="24"/>
      <c r="D52" s="174">
        <f>Kengetallen!D52</f>
        <v>0</v>
      </c>
      <c r="E52" s="23">
        <f>Kengetallen!F52</f>
        <v>0</v>
      </c>
      <c r="F52" s="179"/>
      <c r="G52" s="24"/>
      <c r="M52" s="20" t="b">
        <f t="shared" si="8"/>
        <v>1</v>
      </c>
      <c r="Q52" s="20" t="str">
        <f t="shared" si="2"/>
        <v/>
      </c>
      <c r="R52" t="str">
        <f t="shared" si="7"/>
        <v/>
      </c>
      <c r="S52" t="str">
        <f t="shared" si="7"/>
        <v/>
      </c>
      <c r="T52" s="221" t="str">
        <f t="shared" si="7"/>
        <v/>
      </c>
      <c r="U52" s="221" t="str">
        <f t="shared" si="7"/>
        <v/>
      </c>
      <c r="V52" s="223" t="str">
        <f t="shared" si="7"/>
        <v/>
      </c>
      <c r="W52" s="221" t="str">
        <f t="shared" si="7"/>
        <v/>
      </c>
      <c r="X52" s="221" t="str">
        <f t="shared" si="7"/>
        <v/>
      </c>
    </row>
    <row r="53" spans="1:24" s="20" customFormat="1" hidden="1">
      <c r="A53" s="20" t="str">
        <f>Kengetallen!A53</f>
        <v>P21</v>
      </c>
      <c r="B53" s="2" t="str">
        <f>Kengetallen!B53</f>
        <v>Volledig kunstgebit bovenkaak</v>
      </c>
      <c r="C53" s="24">
        <f>Kengetallen!C53</f>
        <v>161.36000000000001</v>
      </c>
      <c r="D53" s="174">
        <f>Kengetallen!D53</f>
        <v>365</v>
      </c>
      <c r="E53" s="23">
        <f>Kengetallen!F53</f>
        <v>0.25</v>
      </c>
      <c r="F53" s="179"/>
      <c r="G53" s="24"/>
      <c r="M53" s="20" t="b">
        <f t="shared" si="8"/>
        <v>1</v>
      </c>
      <c r="Q53" s="20" t="str">
        <f t="shared" si="2"/>
        <v/>
      </c>
      <c r="R53" t="str">
        <f t="shared" si="7"/>
        <v/>
      </c>
      <c r="S53" t="str">
        <f t="shared" si="7"/>
        <v/>
      </c>
      <c r="T53" s="221" t="str">
        <f t="shared" si="7"/>
        <v/>
      </c>
      <c r="U53" s="221" t="str">
        <f t="shared" si="7"/>
        <v/>
      </c>
      <c r="V53" s="223" t="str">
        <f t="shared" si="7"/>
        <v/>
      </c>
      <c r="W53" s="221" t="str">
        <f t="shared" si="7"/>
        <v/>
      </c>
      <c r="X53" s="221" t="str">
        <f t="shared" si="7"/>
        <v/>
      </c>
    </row>
    <row r="54" spans="1:24" s="20" customFormat="1" hidden="1">
      <c r="A54" s="20" t="str">
        <f>Kengetallen!A54</f>
        <v>P25</v>
      </c>
      <c r="B54" s="2" t="str">
        <f>Kengetallen!B54</f>
        <v>Volledig kunstgebit onderkaak</v>
      </c>
      <c r="C54" s="24">
        <f>Kengetallen!C54</f>
        <v>215.14</v>
      </c>
      <c r="D54" s="174">
        <f>Kengetallen!D54</f>
        <v>365</v>
      </c>
      <c r="E54" s="23">
        <f>Kengetallen!F54</f>
        <v>0.25</v>
      </c>
      <c r="F54" s="179"/>
      <c r="G54" s="24"/>
      <c r="M54" s="20" t="b">
        <f t="shared" si="8"/>
        <v>1</v>
      </c>
      <c r="Q54" s="20" t="str">
        <f t="shared" si="2"/>
        <v/>
      </c>
      <c r="R54" t="str">
        <f t="shared" si="7"/>
        <v/>
      </c>
      <c r="S54" t="str">
        <f t="shared" si="7"/>
        <v/>
      </c>
      <c r="T54" s="221" t="str">
        <f t="shared" si="7"/>
        <v/>
      </c>
      <c r="U54" s="221" t="str">
        <f t="shared" si="7"/>
        <v/>
      </c>
      <c r="V54" s="223" t="str">
        <f t="shared" si="7"/>
        <v/>
      </c>
      <c r="W54" s="221" t="str">
        <f t="shared" si="7"/>
        <v/>
      </c>
      <c r="X54" s="221" t="str">
        <f t="shared" si="7"/>
        <v/>
      </c>
    </row>
    <row r="55" spans="1:24" s="20" customFormat="1" hidden="1">
      <c r="A55" s="20" t="str">
        <f>Kengetallen!A55</f>
        <v>P30</v>
      </c>
      <c r="B55" s="2" t="str">
        <f>Kengetallen!B55</f>
        <v>Volledig kunstgebit boven- en onderkaak</v>
      </c>
      <c r="C55" s="24">
        <f>Kengetallen!C55</f>
        <v>349.61</v>
      </c>
      <c r="D55" s="174">
        <f>Kengetallen!D55</f>
        <v>678</v>
      </c>
      <c r="E55" s="23">
        <f>Kengetallen!F55</f>
        <v>0.25</v>
      </c>
      <c r="F55" s="179"/>
      <c r="G55" s="24"/>
      <c r="M55" s="20" t="b">
        <f t="shared" si="8"/>
        <v>1</v>
      </c>
      <c r="Q55" s="20" t="str">
        <f t="shared" si="2"/>
        <v/>
      </c>
      <c r="R55" t="str">
        <f t="shared" si="7"/>
        <v/>
      </c>
      <c r="S55" t="str">
        <f t="shared" si="7"/>
        <v/>
      </c>
      <c r="T55" s="221" t="str">
        <f t="shared" si="7"/>
        <v/>
      </c>
      <c r="U55" s="221" t="str">
        <f t="shared" si="7"/>
        <v/>
      </c>
      <c r="V55" s="223" t="str">
        <f t="shared" si="7"/>
        <v/>
      </c>
      <c r="W55" s="221" t="str">
        <f t="shared" si="7"/>
        <v/>
      </c>
      <c r="X55" s="221" t="str">
        <f t="shared" si="7"/>
        <v/>
      </c>
    </row>
    <row r="56" spans="1:24" s="20" customFormat="1" hidden="1">
      <c r="B56" s="2"/>
      <c r="C56" s="24">
        <f>Kengetallen!C56</f>
        <v>0</v>
      </c>
      <c r="D56" s="174">
        <f>Kengetallen!D56</f>
        <v>0</v>
      </c>
      <c r="E56" s="23">
        <f>Kengetallen!F56</f>
        <v>0</v>
      </c>
      <c r="F56" s="179"/>
      <c r="G56" s="24"/>
      <c r="M56" s="20" t="b">
        <f t="shared" si="8"/>
        <v>1</v>
      </c>
      <c r="Q56" s="20" t="str">
        <f t="shared" si="2"/>
        <v/>
      </c>
      <c r="R56" t="str">
        <f t="shared" si="7"/>
        <v/>
      </c>
      <c r="S56" t="str">
        <f t="shared" si="7"/>
        <v/>
      </c>
      <c r="T56" s="221" t="str">
        <f t="shared" si="7"/>
        <v/>
      </c>
      <c r="U56" s="221" t="str">
        <f t="shared" si="7"/>
        <v/>
      </c>
      <c r="V56" s="223" t="str">
        <f t="shared" si="7"/>
        <v/>
      </c>
      <c r="W56" s="221" t="str">
        <f t="shared" si="7"/>
        <v/>
      </c>
      <c r="X56" s="221" t="str">
        <f t="shared" si="7"/>
        <v/>
      </c>
    </row>
    <row r="57" spans="1:24" s="20" customFormat="1" hidden="1">
      <c r="A57" s="20" t="str">
        <f>Kengetallen!A57</f>
        <v>Extra te berekenen bij volledig kunstgebit</v>
      </c>
      <c r="B57" s="2"/>
      <c r="C57" s="24"/>
      <c r="D57" s="174">
        <f>Kengetallen!D57</f>
        <v>0</v>
      </c>
      <c r="E57" s="23">
        <f>Kengetallen!F57</f>
        <v>0</v>
      </c>
      <c r="F57" s="179"/>
      <c r="G57" s="24"/>
      <c r="M57" s="20" t="b">
        <f t="shared" si="8"/>
        <v>1</v>
      </c>
      <c r="Q57" s="20" t="str">
        <f t="shared" si="2"/>
        <v/>
      </c>
      <c r="R57" t="str">
        <f t="shared" ref="R57:X68" si="9">IFERROR(INDEX(A$1:A$68,SMALL($Q$5:$Q$68,ROW(L53)),1),"")</f>
        <v/>
      </c>
      <c r="S57" t="str">
        <f t="shared" si="9"/>
        <v/>
      </c>
      <c r="T57" s="221" t="str">
        <f t="shared" si="9"/>
        <v/>
      </c>
      <c r="U57" s="221" t="str">
        <f t="shared" si="9"/>
        <v/>
      </c>
      <c r="V57" s="223" t="str">
        <f t="shared" si="9"/>
        <v/>
      </c>
      <c r="W57" s="221" t="str">
        <f t="shared" si="9"/>
        <v/>
      </c>
      <c r="X57" s="221" t="str">
        <f t="shared" si="9"/>
        <v/>
      </c>
    </row>
    <row r="58" spans="1:24" s="20" customFormat="1" hidden="1">
      <c r="A58" s="20" t="str">
        <f>Kengetallen!A58</f>
        <v>P36</v>
      </c>
      <c r="B58" s="2" t="str">
        <f>Kengetallen!B58</f>
        <v>Individuele afdruk zonder randopbouw</v>
      </c>
      <c r="C58" s="24">
        <f>Kengetallen!C58</f>
        <v>26.89</v>
      </c>
      <c r="D58" s="174">
        <f>Kengetallen!D58</f>
        <v>0</v>
      </c>
      <c r="E58" s="23">
        <f>Kengetallen!F58</f>
        <v>0.25</v>
      </c>
      <c r="F58" s="179"/>
      <c r="G58" s="24"/>
      <c r="M58" s="20" t="b">
        <f t="shared" si="8"/>
        <v>1</v>
      </c>
      <c r="Q58" s="20" t="str">
        <f t="shared" si="2"/>
        <v/>
      </c>
      <c r="R58" t="str">
        <f t="shared" si="9"/>
        <v/>
      </c>
      <c r="S58" t="str">
        <f t="shared" si="9"/>
        <v/>
      </c>
      <c r="T58" s="221" t="str">
        <f t="shared" si="9"/>
        <v/>
      </c>
      <c r="U58" s="221" t="str">
        <f t="shared" si="9"/>
        <v/>
      </c>
      <c r="V58" s="223" t="str">
        <f t="shared" si="9"/>
        <v/>
      </c>
      <c r="W58" s="221" t="str">
        <f t="shared" si="9"/>
        <v/>
      </c>
      <c r="X58" s="221" t="str">
        <f t="shared" si="9"/>
        <v/>
      </c>
    </row>
    <row r="59" spans="1:24" s="20" customFormat="1" hidden="1">
      <c r="A59" s="20" t="str">
        <f>Kengetallen!A59</f>
        <v>P14</v>
      </c>
      <c r="B59" s="2" t="str">
        <f>Kengetallen!B59</f>
        <v>Individuele afdruk met randopbouw</v>
      </c>
      <c r="C59" s="24">
        <f>Kengetallen!C59</f>
        <v>59.16</v>
      </c>
      <c r="D59" s="174">
        <f>Kengetallen!D59</f>
        <v>0</v>
      </c>
      <c r="E59" s="23">
        <f>Kengetallen!F59</f>
        <v>0.25</v>
      </c>
      <c r="F59" s="179"/>
      <c r="G59" s="24"/>
      <c r="M59" s="20" t="b">
        <f t="shared" si="8"/>
        <v>1</v>
      </c>
      <c r="Q59" s="20" t="str">
        <f t="shared" si="2"/>
        <v/>
      </c>
      <c r="R59" t="str">
        <f t="shared" si="9"/>
        <v/>
      </c>
      <c r="S59" t="str">
        <f t="shared" si="9"/>
        <v/>
      </c>
      <c r="T59" s="221" t="str">
        <f t="shared" si="9"/>
        <v/>
      </c>
      <c r="U59" s="221" t="str">
        <f t="shared" si="9"/>
        <v/>
      </c>
      <c r="V59" s="223" t="str">
        <f t="shared" si="9"/>
        <v/>
      </c>
      <c r="W59" s="221" t="str">
        <f t="shared" si="9"/>
        <v/>
      </c>
      <c r="X59" s="221" t="str">
        <f t="shared" si="9"/>
        <v/>
      </c>
    </row>
    <row r="60" spans="1:24" s="20" customFormat="1" hidden="1">
      <c r="A60" s="20" t="str">
        <f>Kengetallen!A60</f>
        <v>P37</v>
      </c>
      <c r="B60" s="2" t="str">
        <f>Kengetallen!B60</f>
        <v>Frontopstelling in aparte zitting</v>
      </c>
      <c r="C60" s="24">
        <f>Kengetallen!C60</f>
        <v>32.270000000000003</v>
      </c>
      <c r="D60" s="174">
        <f>Kengetallen!D60</f>
        <v>0</v>
      </c>
      <c r="E60" s="23">
        <f>Kengetallen!F60</f>
        <v>0.25</v>
      </c>
      <c r="F60" s="179"/>
      <c r="G60" s="24"/>
      <c r="M60" s="20" t="b">
        <f t="shared" si="8"/>
        <v>1</v>
      </c>
      <c r="Q60" s="20" t="str">
        <f t="shared" si="2"/>
        <v/>
      </c>
      <c r="R60" t="str">
        <f t="shared" si="9"/>
        <v/>
      </c>
      <c r="S60" t="str">
        <f t="shared" si="9"/>
        <v/>
      </c>
      <c r="T60" s="221" t="str">
        <f t="shared" si="9"/>
        <v/>
      </c>
      <c r="U60" s="221" t="str">
        <f t="shared" si="9"/>
        <v/>
      </c>
      <c r="V60" s="223" t="str">
        <f t="shared" si="9"/>
        <v/>
      </c>
      <c r="W60" s="221" t="str">
        <f t="shared" si="9"/>
        <v/>
      </c>
      <c r="X60" s="221" t="str">
        <f t="shared" si="9"/>
        <v/>
      </c>
    </row>
    <row r="61" spans="1:24" s="20" customFormat="1" ht="30" hidden="1">
      <c r="A61" s="20" t="str">
        <f>Kengetallen!A61</f>
        <v>P17</v>
      </c>
      <c r="B61" s="2" t="str">
        <f>Kengetallen!B61</f>
        <v>Toeslag voor beetregistratie met specifieke apparatuur</v>
      </c>
      <c r="C61" s="24">
        <f>Kengetallen!C61</f>
        <v>53.79</v>
      </c>
      <c r="D61" s="174">
        <f>Kengetallen!D61</f>
        <v>51</v>
      </c>
      <c r="E61" s="23">
        <f>Kengetallen!F61</f>
        <v>0.25</v>
      </c>
      <c r="F61" s="179"/>
      <c r="G61" s="24"/>
      <c r="M61" s="20" t="b">
        <f t="shared" si="8"/>
        <v>1</v>
      </c>
      <c r="Q61" s="20" t="str">
        <f t="shared" si="2"/>
        <v/>
      </c>
      <c r="R61" t="str">
        <f t="shared" si="9"/>
        <v/>
      </c>
      <c r="S61" t="str">
        <f t="shared" si="9"/>
        <v/>
      </c>
      <c r="T61" s="221" t="str">
        <f t="shared" si="9"/>
        <v/>
      </c>
      <c r="U61" s="221" t="str">
        <f t="shared" si="9"/>
        <v/>
      </c>
      <c r="V61" s="223" t="str">
        <f t="shared" si="9"/>
        <v/>
      </c>
      <c r="W61" s="221" t="str">
        <f t="shared" si="9"/>
        <v/>
      </c>
      <c r="X61" s="221" t="str">
        <f t="shared" si="9"/>
        <v/>
      </c>
    </row>
    <row r="62" spans="1:24" s="20" customFormat="1" hidden="1">
      <c r="B62" s="2"/>
      <c r="C62" s="24">
        <f>Kengetallen!C62</f>
        <v>0</v>
      </c>
      <c r="D62" s="174">
        <f>Kengetallen!D62</f>
        <v>0</v>
      </c>
      <c r="E62" s="23">
        <f>Kengetallen!F62</f>
        <v>0</v>
      </c>
      <c r="F62" s="179"/>
      <c r="G62" s="24"/>
      <c r="M62" s="20" t="b">
        <f t="shared" si="8"/>
        <v>1</v>
      </c>
      <c r="Q62" s="20" t="str">
        <f t="shared" si="2"/>
        <v/>
      </c>
      <c r="R62" t="str">
        <f t="shared" si="9"/>
        <v/>
      </c>
      <c r="S62" t="str">
        <f t="shared" si="9"/>
        <v/>
      </c>
      <c r="T62" s="221" t="str">
        <f t="shared" si="9"/>
        <v/>
      </c>
      <c r="U62" s="221" t="str">
        <f t="shared" si="9"/>
        <v/>
      </c>
      <c r="V62" s="223" t="str">
        <f t="shared" si="9"/>
        <v/>
      </c>
      <c r="W62" s="221" t="str">
        <f t="shared" si="9"/>
        <v/>
      </c>
      <c r="X62" s="221" t="str">
        <f t="shared" si="9"/>
        <v/>
      </c>
    </row>
    <row r="63" spans="1:24" s="20" customFormat="1" hidden="1">
      <c r="A63" s="20" t="str">
        <f>Kengetallen!A63</f>
        <v>Overige</v>
      </c>
      <c r="B63" s="2"/>
      <c r="C63" s="24"/>
      <c r="D63" s="174">
        <f>Kengetallen!D63</f>
        <v>0</v>
      </c>
      <c r="E63" s="23">
        <f>Kengetallen!F63</f>
        <v>0</v>
      </c>
      <c r="F63" s="179"/>
      <c r="G63" s="24"/>
      <c r="M63" s="20" t="b">
        <f t="shared" si="8"/>
        <v>1</v>
      </c>
      <c r="Q63" s="20" t="str">
        <f t="shared" si="2"/>
        <v/>
      </c>
      <c r="R63" t="str">
        <f t="shared" si="9"/>
        <v/>
      </c>
      <c r="S63" t="str">
        <f t="shared" si="9"/>
        <v/>
      </c>
      <c r="T63" s="221" t="str">
        <f t="shared" si="9"/>
        <v/>
      </c>
      <c r="U63" s="221" t="str">
        <f t="shared" si="9"/>
        <v/>
      </c>
      <c r="V63" s="223" t="str">
        <f t="shared" si="9"/>
        <v/>
      </c>
      <c r="W63" s="221" t="str">
        <f t="shared" si="9"/>
        <v/>
      </c>
      <c r="X63" s="221" t="str">
        <f t="shared" si="9"/>
        <v/>
      </c>
    </row>
    <row r="64" spans="1:24" s="20" customFormat="1" hidden="1">
      <c r="A64" s="20" t="str">
        <f>Kengetallen!A64</f>
        <v>P06</v>
      </c>
      <c r="B64" s="2" t="str">
        <f>Kengetallen!B64</f>
        <v>Tissue conditioning volledig kunstgebit</v>
      </c>
      <c r="C64" s="24">
        <f>Kengetallen!C64</f>
        <v>37.780634055372268</v>
      </c>
      <c r="D64" s="174">
        <f>Kengetallen!D64</f>
        <v>0</v>
      </c>
      <c r="E64" s="23">
        <f>Kengetallen!F64</f>
        <v>0.1</v>
      </c>
      <c r="F64" s="179"/>
      <c r="G64" s="24"/>
      <c r="M64" s="20" t="b">
        <f t="shared" si="8"/>
        <v>1</v>
      </c>
      <c r="Q64" s="20" t="str">
        <f t="shared" si="2"/>
        <v/>
      </c>
      <c r="R64" t="str">
        <f t="shared" si="9"/>
        <v/>
      </c>
      <c r="S64" t="str">
        <f t="shared" si="9"/>
        <v/>
      </c>
      <c r="T64" s="221" t="str">
        <f t="shared" si="9"/>
        <v/>
      </c>
      <c r="U64" s="221" t="str">
        <f t="shared" si="9"/>
        <v/>
      </c>
      <c r="V64" s="223" t="str">
        <f t="shared" si="9"/>
        <v/>
      </c>
      <c r="W64" s="221" t="str">
        <f t="shared" si="9"/>
        <v/>
      </c>
      <c r="X64" s="221" t="str">
        <f t="shared" si="9"/>
        <v/>
      </c>
    </row>
    <row r="65" spans="1:24" s="20" customFormat="1" ht="30" hidden="1">
      <c r="A65" s="20" t="str">
        <f>Kengetallen!A65</f>
        <v>P01</v>
      </c>
      <c r="B65" s="2" t="str">
        <f>Kengetallen!B65</f>
        <v>Opvullen volledig kunstgebit, indirect zonder randopbouw</v>
      </c>
      <c r="C65" s="24">
        <f>Kengetallen!C65</f>
        <v>37.780634055372268</v>
      </c>
      <c r="D65" s="174">
        <f>Kengetallen!D65</f>
        <v>95</v>
      </c>
      <c r="E65" s="23">
        <f>Kengetallen!F65</f>
        <v>0.1</v>
      </c>
      <c r="F65" s="179"/>
      <c r="G65" s="24"/>
      <c r="M65" s="20" t="b">
        <f t="shared" si="8"/>
        <v>1</v>
      </c>
      <c r="Q65" s="20" t="str">
        <f t="shared" si="2"/>
        <v/>
      </c>
      <c r="R65" t="str">
        <f t="shared" si="9"/>
        <v/>
      </c>
      <c r="S65" t="str">
        <f t="shared" si="9"/>
        <v/>
      </c>
      <c r="T65" s="221" t="str">
        <f t="shared" si="9"/>
        <v/>
      </c>
      <c r="U65" s="221" t="str">
        <f t="shared" si="9"/>
        <v/>
      </c>
      <c r="V65" s="223" t="str">
        <f t="shared" si="9"/>
        <v/>
      </c>
      <c r="W65" s="221" t="str">
        <f t="shared" si="9"/>
        <v/>
      </c>
      <c r="X65" s="221" t="str">
        <f t="shared" si="9"/>
        <v/>
      </c>
    </row>
    <row r="66" spans="1:24" s="20" customFormat="1" ht="30" hidden="1">
      <c r="A66" s="20" t="str">
        <f>Kengetallen!A66</f>
        <v>P02</v>
      </c>
      <c r="B66" s="2" t="str">
        <f>Kengetallen!B66</f>
        <v>Opvullen volledig kunstgebit, indirect met randopbouw</v>
      </c>
      <c r="C66" s="24">
        <f>Kengetallen!C66</f>
        <v>80.96433797159662</v>
      </c>
      <c r="D66" s="174">
        <f>Kengetallen!D66</f>
        <v>95</v>
      </c>
      <c r="E66" s="23">
        <f>Kengetallen!F66</f>
        <v>0.1</v>
      </c>
      <c r="F66" s="179"/>
      <c r="G66" s="24"/>
      <c r="M66" s="20" t="b">
        <f t="shared" si="8"/>
        <v>1</v>
      </c>
      <c r="Q66" s="20" t="str">
        <f t="shared" si="2"/>
        <v/>
      </c>
      <c r="R66" t="str">
        <f t="shared" si="9"/>
        <v/>
      </c>
      <c r="S66" t="str">
        <f t="shared" si="9"/>
        <v/>
      </c>
      <c r="T66" s="221" t="str">
        <f t="shared" si="9"/>
        <v/>
      </c>
      <c r="U66" s="221" t="str">
        <f t="shared" si="9"/>
        <v/>
      </c>
      <c r="V66" s="223" t="str">
        <f t="shared" si="9"/>
        <v/>
      </c>
      <c r="W66" s="221" t="str">
        <f t="shared" si="9"/>
        <v/>
      </c>
      <c r="X66" s="221" t="str">
        <f t="shared" si="9"/>
        <v/>
      </c>
    </row>
    <row r="67" spans="1:24" s="20" customFormat="1" hidden="1">
      <c r="A67" s="20" t="str">
        <f>Kengetallen!A67</f>
        <v>P07</v>
      </c>
      <c r="B67" s="2" t="str">
        <f>Kengetallen!B67</f>
        <v>Reparatie volledig kunstgebit, zonder afdruk</v>
      </c>
      <c r="C67" s="24">
        <f>Kengetallen!C67</f>
        <v>16.188782097260081</v>
      </c>
      <c r="D67" s="174">
        <f>Kengetallen!D67</f>
        <v>0</v>
      </c>
      <c r="E67" s="23">
        <f>Kengetallen!F67</f>
        <v>0.1</v>
      </c>
      <c r="F67" s="179"/>
      <c r="G67" s="24"/>
      <c r="M67" s="20" t="b">
        <f t="shared" si="8"/>
        <v>1</v>
      </c>
      <c r="Q67" s="20" t="str">
        <f t="shared" si="2"/>
        <v/>
      </c>
      <c r="R67" t="str">
        <f t="shared" si="9"/>
        <v/>
      </c>
      <c r="S67" t="str">
        <f t="shared" si="9"/>
        <v/>
      </c>
      <c r="T67" s="221" t="str">
        <f t="shared" si="9"/>
        <v/>
      </c>
      <c r="U67" s="221" t="str">
        <f t="shared" si="9"/>
        <v/>
      </c>
      <c r="V67" s="223" t="str">
        <f t="shared" si="9"/>
        <v/>
      </c>
      <c r="W67" s="221" t="str">
        <f t="shared" si="9"/>
        <v/>
      </c>
      <c r="X67" s="221" t="str">
        <f t="shared" si="9"/>
        <v/>
      </c>
    </row>
    <row r="68" spans="1:24" s="20" customFormat="1" hidden="1">
      <c r="A68" s="20" t="str">
        <f>Kengetallen!A68</f>
        <v>P08</v>
      </c>
      <c r="B68" s="2" t="str">
        <f>Kengetallen!B68</f>
        <v>Reparatie volledig kunstgebit, met afdruk</v>
      </c>
      <c r="C68" s="24">
        <f>Kengetallen!C68</f>
        <v>43.183703916224367</v>
      </c>
      <c r="D68" s="174">
        <f>Kengetallen!D68</f>
        <v>0</v>
      </c>
      <c r="E68" s="23">
        <f>Kengetallen!F68</f>
        <v>0.1</v>
      </c>
      <c r="F68" s="179"/>
      <c r="G68" s="24"/>
      <c r="M68" s="20" t="b">
        <f t="shared" si="8"/>
        <v>1</v>
      </c>
      <c r="Q68" s="20" t="str">
        <f t="shared" si="2"/>
        <v/>
      </c>
      <c r="R68" t="str">
        <f t="shared" si="9"/>
        <v/>
      </c>
      <c r="S68" t="str">
        <f t="shared" si="9"/>
        <v/>
      </c>
      <c r="T68" s="221" t="str">
        <f t="shared" si="9"/>
        <v/>
      </c>
      <c r="U68" s="221" t="str">
        <f t="shared" si="9"/>
        <v/>
      </c>
      <c r="V68" s="223" t="str">
        <f t="shared" si="9"/>
        <v/>
      </c>
      <c r="W68" s="221" t="str">
        <f t="shared" si="9"/>
        <v/>
      </c>
      <c r="X68" s="221" t="str">
        <f t="shared" si="9"/>
        <v/>
      </c>
    </row>
    <row r="69" spans="1:24" ht="45">
      <c r="I69" s="192" t="s">
        <v>644</v>
      </c>
    </row>
    <row r="71" spans="1:24">
      <c r="I71" s="191"/>
    </row>
    <row r="72" spans="1:24">
      <c r="I72" s="191"/>
    </row>
    <row r="73" spans="1:24">
      <c r="I73" s="191"/>
    </row>
  </sheetData>
  <sheetProtection sheet="1" objects="1" scenarios="1"/>
  <autoFilter ref="M1:M69">
    <filterColumn colId="0">
      <filters>
        <filter val="ONWAAR"/>
      </filters>
    </filterColumn>
  </autoFilter>
  <mergeCells count="6">
    <mergeCell ref="K2:K3"/>
    <mergeCell ref="L2:L3"/>
    <mergeCell ref="A1:B1"/>
    <mergeCell ref="F1:H1"/>
    <mergeCell ref="F2:H2"/>
    <mergeCell ref="J2:J3"/>
  </mergeCells>
  <phoneticPr fontId="26" type="noConversion"/>
  <hyperlinks>
    <hyperlink ref="I69" location="Inhoudsopgave!A1" display="Naar inhouds- opgave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47</vt:i4>
      </vt:variant>
      <vt:variant>
        <vt:lpstr>Benoemde bereiken</vt:lpstr>
      </vt:variant>
      <vt:variant>
        <vt:i4>40</vt:i4>
      </vt:variant>
    </vt:vector>
  </HeadingPairs>
  <TitlesOfParts>
    <vt:vector size="87" baseType="lpstr">
      <vt:lpstr>Inhoudsopgave</vt:lpstr>
      <vt:lpstr>Kostenbegroting</vt:lpstr>
      <vt:lpstr>VPOmetVPB</vt:lpstr>
      <vt:lpstr>VPO</vt:lpstr>
      <vt:lpstr>VPB</vt:lpstr>
      <vt:lpstr>Rebasing_VPBofVPO</vt:lpstr>
      <vt:lpstr>Reparatie_VPBofVPOmetafdruk</vt:lpstr>
      <vt:lpstr>Reparatie_VPBofVPOzonderafdruk</vt:lpstr>
      <vt:lpstr>Ovk_OK2_staafmetnwe_VPB</vt:lpstr>
      <vt:lpstr>Ovk_OK2_drukknopMETnwe_VPB</vt:lpstr>
      <vt:lpstr>Ovk_OK4_staafmetnwe_VPB</vt:lpstr>
      <vt:lpstr>Ovk OK4 drukknop+nwe VPB</vt:lpstr>
      <vt:lpstr>OVK_OK2_oude_staafmetnwe_VPB</vt:lpstr>
      <vt:lpstr>Ovk_OK2_oude_drukknopmetVPB</vt:lpstr>
      <vt:lpstr>OVK_OK4_oude_staafmetnwe_VPB</vt:lpstr>
      <vt:lpstr>Ovk OK4 oude drukknop+nwe VPB</vt:lpstr>
      <vt:lpstr>OVK_OK2_staaf</vt:lpstr>
      <vt:lpstr>OVK_OK2_drukknop</vt:lpstr>
      <vt:lpstr>OVK_OK4_staaf</vt:lpstr>
      <vt:lpstr>OVK OK4 drukknop</vt:lpstr>
      <vt:lpstr>OVK_OK2_oude_staaf</vt:lpstr>
      <vt:lpstr>OVK_OK2_oude_drukknop</vt:lpstr>
      <vt:lpstr>OVK_OK4_oude_staaf</vt:lpstr>
      <vt:lpstr>OVK OK4 oude drukknop</vt:lpstr>
      <vt:lpstr>OVK_BK4_nieuwe_staaf</vt:lpstr>
      <vt:lpstr>OVK_BK4_nieuwe_staafmetmetaal</vt:lpstr>
      <vt:lpstr>OVK_BK4_bestaande_staaf</vt:lpstr>
      <vt:lpstr>OVK_BK4_bestaande_staafmemetaal</vt:lpstr>
      <vt:lpstr>OVK_BK4_drukknop</vt:lpstr>
      <vt:lpstr>OVK_BK4_bestaande_drukknop</vt:lpstr>
      <vt:lpstr>OVK_BK6_nieuwe_staaf</vt:lpstr>
      <vt:lpstr>OVK_BK6_nieuwe_staafmetmetaal</vt:lpstr>
      <vt:lpstr>OVK_BK6_bestaande_staaf</vt:lpstr>
      <vt:lpstr>OVK_BK6_bestaande_staaf_metaal</vt:lpstr>
      <vt:lpstr>OVK_BK6_drukknop</vt:lpstr>
      <vt:lpstr>OVK_BK6_bestaandedrukknop</vt:lpstr>
      <vt:lpstr>nieuw</vt:lpstr>
      <vt:lpstr>Kengetallen</vt:lpstr>
      <vt:lpstr>OVERZICHT NZA TECHNIEK</vt:lpstr>
      <vt:lpstr>Volledige_prothese_zkz</vt:lpstr>
      <vt:lpstr>Implantaat_prothese_zkz</vt:lpstr>
      <vt:lpstr>Immediaat_zkz</vt:lpstr>
      <vt:lpstr>Implantaat_omvormen_ZKZ</vt:lpstr>
      <vt:lpstr>Mesostructuur_zkz</vt:lpstr>
      <vt:lpstr>Rebasen_zkz</vt:lpstr>
      <vt:lpstr>Toelichting</vt:lpstr>
      <vt:lpstr>Blad1</vt:lpstr>
      <vt:lpstr>Implantaat_omvormen_ZKZ!Afdrukbereik</vt:lpstr>
      <vt:lpstr>Implantaat_prothese_zkz!Afdrukbereik</vt:lpstr>
      <vt:lpstr>'OVERZICHT NZA TECHNIEK'!Afdrukbereik</vt:lpstr>
      <vt:lpstr>Rebasen_zkz!Afdrukbereik</vt:lpstr>
      <vt:lpstr>Volledige_prothese_zkz!Afdrukbereik</vt:lpstr>
      <vt:lpstr>nieuw!Naar_inhoudsopgave</vt:lpstr>
      <vt:lpstr>'OVK OK4 drukknop'!Naar_inhoudsopgave</vt:lpstr>
      <vt:lpstr>'Ovk OK4 drukknop+nwe VPB'!Naar_inhoudsopgave</vt:lpstr>
      <vt:lpstr>'OVK OK4 oude drukknop'!Naar_inhoudsopgave</vt:lpstr>
      <vt:lpstr>'Ovk OK4 oude drukknop+nwe VPB'!Naar_inhoudsopgave</vt:lpstr>
      <vt:lpstr>OVK_BK4_bestaande_drukknop!Naar_inhoudsopgave</vt:lpstr>
      <vt:lpstr>OVK_BK4_bestaande_staaf!Naar_inhoudsopgave</vt:lpstr>
      <vt:lpstr>OVK_BK4_bestaande_staafmemetaal!Naar_inhoudsopgave</vt:lpstr>
      <vt:lpstr>OVK_BK4_drukknop!Naar_inhoudsopgave</vt:lpstr>
      <vt:lpstr>OVK_BK4_nieuwe_staaf!Naar_inhoudsopgave</vt:lpstr>
      <vt:lpstr>OVK_BK4_nieuwe_staafmetmetaal!Naar_inhoudsopgave</vt:lpstr>
      <vt:lpstr>OVK_BK6_bestaande_staaf!Naar_inhoudsopgave</vt:lpstr>
      <vt:lpstr>OVK_BK6_bestaande_staaf_metaal!Naar_inhoudsopgave</vt:lpstr>
      <vt:lpstr>OVK_BK6_bestaandedrukknop!Naar_inhoudsopgave</vt:lpstr>
      <vt:lpstr>OVK_BK6_drukknop!Naar_inhoudsopgave</vt:lpstr>
      <vt:lpstr>OVK_BK6_nieuwe_staaf!Naar_inhoudsopgave</vt:lpstr>
      <vt:lpstr>OVK_BK6_nieuwe_staafmetmetaal!Naar_inhoudsopgave</vt:lpstr>
      <vt:lpstr>OVK_OK2_drukknop!Naar_inhoudsopgave</vt:lpstr>
      <vt:lpstr>Ovk_OK2_drukknopMETnwe_VPB!Naar_inhoudsopgave</vt:lpstr>
      <vt:lpstr>OVK_OK2_oude_drukknop!Naar_inhoudsopgave</vt:lpstr>
      <vt:lpstr>Ovk_OK2_oude_drukknopmetVPB!Naar_inhoudsopgave</vt:lpstr>
      <vt:lpstr>OVK_OK2_oude_staaf!Naar_inhoudsopgave</vt:lpstr>
      <vt:lpstr>OVK_OK2_oude_staafmetnwe_VPB!Naar_inhoudsopgave</vt:lpstr>
      <vt:lpstr>OVK_OK2_staaf!Naar_inhoudsopgave</vt:lpstr>
      <vt:lpstr>OVK_OK4_oude_staaf!Naar_inhoudsopgave</vt:lpstr>
      <vt:lpstr>OVK_OK4_oude_staafmetnwe_VPB!Naar_inhoudsopgave</vt:lpstr>
      <vt:lpstr>OVK_OK4_staaf!Naar_inhoudsopgave</vt:lpstr>
      <vt:lpstr>Ovk_OK4_staafmetnwe_VPB!Naar_inhoudsopgave</vt:lpstr>
      <vt:lpstr>Rebasing_VPBofVPO!Naar_inhoudsopgave</vt:lpstr>
      <vt:lpstr>Reparatie_VPBofVPOmetafdruk!Naar_inhoudsopgave</vt:lpstr>
      <vt:lpstr>Reparatie_VPBofVPOzonderafdruk!Naar_inhoudsopgave</vt:lpstr>
      <vt:lpstr>VPB!Naar_inhoudsopgave</vt:lpstr>
      <vt:lpstr>VPO!Naar_inhoudsopgave</vt:lpstr>
      <vt:lpstr>VPOmetVPB!Naar_inhoudsopgave</vt:lpstr>
      <vt:lpstr>Naar_inhoudsopgave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Cune</dc:creator>
  <cp:lastModifiedBy>F.E.J. Graauwmans</cp:lastModifiedBy>
  <cp:lastPrinted>2017-01-25T07:54:37Z</cp:lastPrinted>
  <dcterms:created xsi:type="dcterms:W3CDTF">2016-12-18T17:11:54Z</dcterms:created>
  <dcterms:modified xsi:type="dcterms:W3CDTF">2017-02-05T11:58:18Z</dcterms:modified>
</cp:coreProperties>
</file>